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80" yWindow="420" windowWidth="25280" windowHeight="15360" tabRatio="813" activeTab="1"/>
  </bookViews>
  <sheets>
    <sheet name="LeREM" sheetId="8" r:id="rId1"/>
    <sheet name="Simulateur" sheetId="11" r:id="rId2"/>
    <sheet name="Autres-systemes" sheetId="7" r:id="rId3"/>
    <sheet name="S_resume" sheetId="14" r:id="rId4"/>
    <sheet name="Introduction" sheetId="5" r:id="rId5"/>
    <sheet name="Nationalisation" sheetId="15" r:id="rId6"/>
    <sheet name="Ecart_DaveSDG" sheetId="1" r:id="rId7"/>
    <sheet name="72ou67cents" sheetId="2" r:id="rId8"/>
    <sheet name="60M_pass_2117" sheetId="3" r:id="rId9"/>
    <sheet name="Vancouver" sheetId="13" r:id="rId10"/>
    <sheet name="Copenhague_49-25cents" sheetId="6" r:id="rId11"/>
    <sheet name="Sydney" sheetId="12" r:id="rId12"/>
  </sheets>
  <definedNames>
    <definedName name="_xlnm.Print_Area" localSheetId="5">Nationalisation!$A$13:$C$40</definedName>
    <definedName name="_xlnm.Print_Area" localSheetId="3">S_resume!$D$13:$O$21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5" i="13" l="1"/>
  <c r="D115" i="13"/>
  <c r="E30" i="11"/>
  <c r="G30" i="11"/>
  <c r="H30" i="11"/>
  <c r="I30" i="11"/>
  <c r="J30" i="11"/>
  <c r="K30" i="11"/>
  <c r="L30" i="11"/>
  <c r="M30" i="11"/>
  <c r="N30" i="11"/>
  <c r="O30" i="11"/>
  <c r="Q30" i="11"/>
  <c r="S30" i="11"/>
  <c r="D31" i="11"/>
  <c r="E31" i="11"/>
  <c r="G31" i="11"/>
  <c r="H31" i="11"/>
  <c r="I31" i="11"/>
  <c r="J31" i="11"/>
  <c r="K31" i="11"/>
  <c r="L31" i="11"/>
  <c r="M31" i="11"/>
  <c r="N31" i="11"/>
  <c r="O31" i="11"/>
  <c r="Q31" i="11"/>
  <c r="S31" i="11"/>
  <c r="D32" i="11"/>
  <c r="E32" i="11"/>
  <c r="G32" i="11"/>
  <c r="H32" i="11"/>
  <c r="I32" i="11"/>
  <c r="J32" i="11"/>
  <c r="K32" i="11"/>
  <c r="L32" i="11"/>
  <c r="M32" i="11"/>
  <c r="N32" i="11"/>
  <c r="O32" i="11"/>
  <c r="Q32" i="11"/>
  <c r="S32" i="11"/>
  <c r="D33" i="11"/>
  <c r="E33" i="11"/>
  <c r="G33" i="11"/>
  <c r="H33" i="11"/>
  <c r="I33" i="11"/>
  <c r="J33" i="11"/>
  <c r="K33" i="11"/>
  <c r="L33" i="11"/>
  <c r="M33" i="11"/>
  <c r="N33" i="11"/>
  <c r="O33" i="11"/>
  <c r="Q33" i="11"/>
  <c r="S33" i="11"/>
  <c r="D34" i="11"/>
  <c r="E34" i="11"/>
  <c r="G34" i="11"/>
  <c r="H34" i="11"/>
  <c r="I34" i="11"/>
  <c r="J34" i="11"/>
  <c r="K34" i="11"/>
  <c r="L34" i="11"/>
  <c r="M34" i="11"/>
  <c r="N34" i="11"/>
  <c r="O34" i="11"/>
  <c r="Q34" i="11"/>
  <c r="S34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S20" i="11"/>
  <c r="E21" i="11"/>
  <c r="G21" i="11"/>
  <c r="H21" i="11"/>
  <c r="I21" i="11"/>
  <c r="J21" i="11"/>
  <c r="K21" i="11"/>
  <c r="L21" i="11"/>
  <c r="M21" i="11"/>
  <c r="N21" i="11"/>
  <c r="O21" i="11"/>
  <c r="Q21" i="11"/>
  <c r="S21" i="11"/>
  <c r="E22" i="11"/>
  <c r="G22" i="11"/>
  <c r="H22" i="11"/>
  <c r="I22" i="11"/>
  <c r="J22" i="11"/>
  <c r="K22" i="11"/>
  <c r="L22" i="11"/>
  <c r="M22" i="11"/>
  <c r="N22" i="11"/>
  <c r="O22" i="11"/>
  <c r="Q22" i="11"/>
  <c r="S22" i="11"/>
  <c r="E23" i="11"/>
  <c r="G23" i="11"/>
  <c r="H23" i="11"/>
  <c r="I23" i="11"/>
  <c r="J23" i="11"/>
  <c r="K23" i="11"/>
  <c r="L23" i="11"/>
  <c r="M23" i="11"/>
  <c r="N23" i="11"/>
  <c r="O23" i="11"/>
  <c r="Q23" i="11"/>
  <c r="S23" i="11"/>
  <c r="E24" i="11"/>
  <c r="G24" i="11"/>
  <c r="H24" i="11"/>
  <c r="I24" i="11"/>
  <c r="J24" i="11"/>
  <c r="K24" i="11"/>
  <c r="L24" i="11"/>
  <c r="M24" i="11"/>
  <c r="N24" i="11"/>
  <c r="O24" i="11"/>
  <c r="Q24" i="11"/>
  <c r="S24" i="11"/>
  <c r="E25" i="11"/>
  <c r="G25" i="11"/>
  <c r="H25" i="11"/>
  <c r="I25" i="11"/>
  <c r="J25" i="11"/>
  <c r="K25" i="11"/>
  <c r="L25" i="11"/>
  <c r="M25" i="11"/>
  <c r="N25" i="11"/>
  <c r="O25" i="11"/>
  <c r="Q25" i="11"/>
  <c r="S25" i="11"/>
  <c r="E26" i="11"/>
  <c r="G26" i="11"/>
  <c r="H26" i="11"/>
  <c r="I26" i="11"/>
  <c r="J26" i="11"/>
  <c r="K26" i="11"/>
  <c r="L26" i="11"/>
  <c r="M26" i="11"/>
  <c r="N26" i="11"/>
  <c r="O26" i="11"/>
  <c r="Q26" i="11"/>
  <c r="S26" i="11"/>
  <c r="E27" i="11"/>
  <c r="G27" i="11"/>
  <c r="H27" i="11"/>
  <c r="I27" i="11"/>
  <c r="J27" i="11"/>
  <c r="K27" i="11"/>
  <c r="L27" i="11"/>
  <c r="M27" i="11"/>
  <c r="N27" i="11"/>
  <c r="O27" i="11"/>
  <c r="Q27" i="11"/>
  <c r="S27" i="11"/>
  <c r="E28" i="11"/>
  <c r="G28" i="11"/>
  <c r="H28" i="11"/>
  <c r="I28" i="11"/>
  <c r="J28" i="11"/>
  <c r="K28" i="11"/>
  <c r="L28" i="11"/>
  <c r="M28" i="11"/>
  <c r="N28" i="11"/>
  <c r="O28" i="11"/>
  <c r="Q28" i="11"/>
  <c r="S28" i="11"/>
  <c r="E29" i="11"/>
  <c r="G29" i="11"/>
  <c r="H29" i="11"/>
  <c r="I29" i="11"/>
  <c r="J29" i="11"/>
  <c r="K29" i="11"/>
  <c r="L29" i="11"/>
  <c r="M29" i="11"/>
  <c r="N29" i="11"/>
  <c r="O29" i="11"/>
  <c r="Q29" i="11"/>
  <c r="S29" i="11"/>
  <c r="S3" i="11"/>
  <c r="P3" i="11"/>
  <c r="Q3" i="11"/>
  <c r="R30" i="11"/>
  <c r="R31" i="11"/>
  <c r="R32" i="11"/>
  <c r="R33" i="11"/>
  <c r="R34" i="11"/>
  <c r="R20" i="11"/>
  <c r="R21" i="11"/>
  <c r="R22" i="11"/>
  <c r="R23" i="11"/>
  <c r="R24" i="11"/>
  <c r="R25" i="11"/>
  <c r="R26" i="11"/>
  <c r="R27" i="11"/>
  <c r="R28" i="11"/>
  <c r="R29" i="11"/>
  <c r="R3" i="11"/>
  <c r="O2" i="11"/>
  <c r="N19" i="11"/>
  <c r="M16" i="7"/>
  <c r="L16" i="7"/>
  <c r="R2" i="11"/>
  <c r="D21" i="11"/>
  <c r="D22" i="11"/>
  <c r="D23" i="11"/>
  <c r="D24" i="11"/>
  <c r="D25" i="11"/>
  <c r="D26" i="11"/>
  <c r="H19" i="11"/>
  <c r="J19" i="11"/>
  <c r="L19" i="11"/>
  <c r="O18" i="11"/>
  <c r="N18" i="11"/>
  <c r="D27" i="11"/>
  <c r="D28" i="11"/>
  <c r="D29" i="11"/>
  <c r="D30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E116" i="11"/>
  <c r="F116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E35" i="11"/>
  <c r="F35" i="11"/>
  <c r="E36" i="11"/>
  <c r="F36" i="11"/>
  <c r="E37" i="11"/>
  <c r="F37" i="11"/>
  <c r="E38" i="11"/>
  <c r="F38" i="11"/>
  <c r="E39" i="11"/>
  <c r="F39" i="11"/>
  <c r="E40" i="11"/>
  <c r="F40" i="11"/>
  <c r="E41" i="11"/>
  <c r="F41" i="11"/>
  <c r="E42" i="11"/>
  <c r="F42" i="11"/>
  <c r="E43" i="11"/>
  <c r="F43" i="11"/>
  <c r="E44" i="11"/>
  <c r="F44" i="11"/>
  <c r="E45" i="11"/>
  <c r="F45" i="11"/>
  <c r="E46" i="11"/>
  <c r="F46" i="11"/>
  <c r="E47" i="11"/>
  <c r="F47" i="11"/>
  <c r="E48" i="11"/>
  <c r="F48" i="11"/>
  <c r="E49" i="11"/>
  <c r="F49" i="11"/>
  <c r="E50" i="11"/>
  <c r="F50" i="11"/>
  <c r="E51" i="11"/>
  <c r="F51" i="11"/>
  <c r="E52" i="11"/>
  <c r="F52" i="11"/>
  <c r="E53" i="11"/>
  <c r="F53" i="11"/>
  <c r="E54" i="11"/>
  <c r="F54" i="11"/>
  <c r="E55" i="11"/>
  <c r="F55" i="11"/>
  <c r="E56" i="11"/>
  <c r="F56" i="11"/>
  <c r="E57" i="11"/>
  <c r="F57" i="11"/>
  <c r="E58" i="11"/>
  <c r="F58" i="11"/>
  <c r="E59" i="11"/>
  <c r="F59" i="11"/>
  <c r="E60" i="11"/>
  <c r="F60" i="11"/>
  <c r="E61" i="11"/>
  <c r="F61" i="11"/>
  <c r="E62" i="11"/>
  <c r="F62" i="11"/>
  <c r="E63" i="11"/>
  <c r="F63" i="11"/>
  <c r="E64" i="11"/>
  <c r="F64" i="11"/>
  <c r="E65" i="11"/>
  <c r="F65" i="11"/>
  <c r="E66" i="11"/>
  <c r="F66" i="11"/>
  <c r="E67" i="11"/>
  <c r="F67" i="11"/>
  <c r="E68" i="11"/>
  <c r="F68" i="11"/>
  <c r="E69" i="11"/>
  <c r="F69" i="11"/>
  <c r="E70" i="11"/>
  <c r="F70" i="11"/>
  <c r="E71" i="11"/>
  <c r="F71" i="11"/>
  <c r="E72" i="11"/>
  <c r="F72" i="11"/>
  <c r="E73" i="11"/>
  <c r="F73" i="11"/>
  <c r="E74" i="11"/>
  <c r="F74" i="11"/>
  <c r="E75" i="11"/>
  <c r="F75" i="11"/>
  <c r="E76" i="11"/>
  <c r="F76" i="11"/>
  <c r="E77" i="11"/>
  <c r="F77" i="11"/>
  <c r="E78" i="11"/>
  <c r="F78" i="11"/>
  <c r="E79" i="11"/>
  <c r="F79" i="11"/>
  <c r="E80" i="11"/>
  <c r="F80" i="11"/>
  <c r="E81" i="11"/>
  <c r="F81" i="11"/>
  <c r="E82" i="11"/>
  <c r="F82" i="11"/>
  <c r="E83" i="11"/>
  <c r="F83" i="11"/>
  <c r="E84" i="11"/>
  <c r="F84" i="11"/>
  <c r="E85" i="11"/>
  <c r="F85" i="11"/>
  <c r="E86" i="11"/>
  <c r="F86" i="11"/>
  <c r="E87" i="11"/>
  <c r="F87" i="11"/>
  <c r="E88" i="11"/>
  <c r="F88" i="11"/>
  <c r="E89" i="11"/>
  <c r="F89" i="11"/>
  <c r="E90" i="11"/>
  <c r="F90" i="11"/>
  <c r="E91" i="11"/>
  <c r="F91" i="11"/>
  <c r="E92" i="11"/>
  <c r="F92" i="11"/>
  <c r="E93" i="11"/>
  <c r="F93" i="11"/>
  <c r="E94" i="11"/>
  <c r="F94" i="11"/>
  <c r="E95" i="11"/>
  <c r="F95" i="11"/>
  <c r="E96" i="11"/>
  <c r="F96" i="11"/>
  <c r="E97" i="11"/>
  <c r="F97" i="11"/>
  <c r="E98" i="11"/>
  <c r="F98" i="11"/>
  <c r="E99" i="11"/>
  <c r="F99" i="11"/>
  <c r="E100" i="11"/>
  <c r="F100" i="11"/>
  <c r="E101" i="11"/>
  <c r="F101" i="11"/>
  <c r="E102" i="11"/>
  <c r="F102" i="11"/>
  <c r="E103" i="11"/>
  <c r="F103" i="11"/>
  <c r="E104" i="11"/>
  <c r="F104" i="11"/>
  <c r="E105" i="11"/>
  <c r="F105" i="11"/>
  <c r="E106" i="11"/>
  <c r="F106" i="11"/>
  <c r="E107" i="11"/>
  <c r="F107" i="11"/>
  <c r="E108" i="11"/>
  <c r="F108" i="11"/>
  <c r="E109" i="11"/>
  <c r="F109" i="11"/>
  <c r="E110" i="11"/>
  <c r="F110" i="11"/>
  <c r="E111" i="11"/>
  <c r="F111" i="11"/>
  <c r="E112" i="11"/>
  <c r="F112" i="11"/>
  <c r="E113" i="11"/>
  <c r="F113" i="11"/>
  <c r="E114" i="11"/>
  <c r="F114" i="11"/>
  <c r="E115" i="11"/>
  <c r="F115" i="11"/>
  <c r="F21" i="11"/>
  <c r="F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G35" i="11"/>
  <c r="H35" i="11"/>
  <c r="I35" i="11"/>
  <c r="J35" i="11"/>
  <c r="K35" i="11"/>
  <c r="L35" i="11"/>
  <c r="M35" i="11"/>
  <c r="N35" i="11"/>
  <c r="O35" i="11"/>
  <c r="U35" i="11"/>
  <c r="G36" i="11"/>
  <c r="H36" i="11"/>
  <c r="I36" i="11"/>
  <c r="J36" i="11"/>
  <c r="K36" i="11"/>
  <c r="L36" i="11"/>
  <c r="M36" i="11"/>
  <c r="N36" i="11"/>
  <c r="O36" i="11"/>
  <c r="U36" i="11"/>
  <c r="G37" i="11"/>
  <c r="H37" i="11"/>
  <c r="I37" i="11"/>
  <c r="J37" i="11"/>
  <c r="K37" i="11"/>
  <c r="L37" i="11"/>
  <c r="M37" i="11"/>
  <c r="N37" i="11"/>
  <c r="O37" i="11"/>
  <c r="U37" i="11"/>
  <c r="G38" i="11"/>
  <c r="H38" i="11"/>
  <c r="I38" i="11"/>
  <c r="J38" i="11"/>
  <c r="K38" i="11"/>
  <c r="L38" i="11"/>
  <c r="M38" i="11"/>
  <c r="N38" i="11"/>
  <c r="O38" i="11"/>
  <c r="U38" i="11"/>
  <c r="G39" i="11"/>
  <c r="H39" i="11"/>
  <c r="I39" i="11"/>
  <c r="J39" i="11"/>
  <c r="K39" i="11"/>
  <c r="L39" i="11"/>
  <c r="M39" i="11"/>
  <c r="N39" i="11"/>
  <c r="O39" i="11"/>
  <c r="U39" i="11"/>
  <c r="G40" i="11"/>
  <c r="H40" i="11"/>
  <c r="I40" i="11"/>
  <c r="J40" i="11"/>
  <c r="K40" i="11"/>
  <c r="L40" i="11"/>
  <c r="M40" i="11"/>
  <c r="N40" i="11"/>
  <c r="O40" i="11"/>
  <c r="U40" i="11"/>
  <c r="G41" i="11"/>
  <c r="H41" i="11"/>
  <c r="I41" i="11"/>
  <c r="J41" i="11"/>
  <c r="K41" i="11"/>
  <c r="L41" i="11"/>
  <c r="M41" i="11"/>
  <c r="N41" i="11"/>
  <c r="O41" i="11"/>
  <c r="U41" i="11"/>
  <c r="G42" i="11"/>
  <c r="H42" i="11"/>
  <c r="I42" i="11"/>
  <c r="J42" i="11"/>
  <c r="K42" i="11"/>
  <c r="L42" i="11"/>
  <c r="M42" i="11"/>
  <c r="N42" i="11"/>
  <c r="O42" i="11"/>
  <c r="U42" i="11"/>
  <c r="G43" i="11"/>
  <c r="H43" i="11"/>
  <c r="I43" i="11"/>
  <c r="J43" i="11"/>
  <c r="K43" i="11"/>
  <c r="L43" i="11"/>
  <c r="M43" i="11"/>
  <c r="N43" i="11"/>
  <c r="O43" i="11"/>
  <c r="U43" i="11"/>
  <c r="G44" i="11"/>
  <c r="H44" i="11"/>
  <c r="I44" i="11"/>
  <c r="J44" i="11"/>
  <c r="K44" i="11"/>
  <c r="L44" i="11"/>
  <c r="M44" i="11"/>
  <c r="N44" i="11"/>
  <c r="O44" i="11"/>
  <c r="U44" i="11"/>
  <c r="G45" i="11"/>
  <c r="H45" i="11"/>
  <c r="I45" i="11"/>
  <c r="J45" i="11"/>
  <c r="K45" i="11"/>
  <c r="L45" i="11"/>
  <c r="M45" i="11"/>
  <c r="N45" i="11"/>
  <c r="O45" i="11"/>
  <c r="U45" i="11"/>
  <c r="G46" i="11"/>
  <c r="H46" i="11"/>
  <c r="I46" i="11"/>
  <c r="J46" i="11"/>
  <c r="K46" i="11"/>
  <c r="L46" i="11"/>
  <c r="M46" i="11"/>
  <c r="N46" i="11"/>
  <c r="O46" i="11"/>
  <c r="U46" i="11"/>
  <c r="G47" i="11"/>
  <c r="H47" i="11"/>
  <c r="I47" i="11"/>
  <c r="J47" i="11"/>
  <c r="K47" i="11"/>
  <c r="L47" i="11"/>
  <c r="M47" i="11"/>
  <c r="N47" i="11"/>
  <c r="O47" i="11"/>
  <c r="U47" i="11"/>
  <c r="G48" i="11"/>
  <c r="H48" i="11"/>
  <c r="I48" i="11"/>
  <c r="J48" i="11"/>
  <c r="K48" i="11"/>
  <c r="L48" i="11"/>
  <c r="M48" i="11"/>
  <c r="N48" i="11"/>
  <c r="O48" i="11"/>
  <c r="U48" i="11"/>
  <c r="G49" i="11"/>
  <c r="H49" i="11"/>
  <c r="I49" i="11"/>
  <c r="J49" i="11"/>
  <c r="K49" i="11"/>
  <c r="L49" i="11"/>
  <c r="M49" i="11"/>
  <c r="N49" i="11"/>
  <c r="O49" i="11"/>
  <c r="U49" i="11"/>
  <c r="G50" i="11"/>
  <c r="H50" i="11"/>
  <c r="I50" i="11"/>
  <c r="J50" i="11"/>
  <c r="K50" i="11"/>
  <c r="L50" i="11"/>
  <c r="M50" i="11"/>
  <c r="N50" i="11"/>
  <c r="O50" i="11"/>
  <c r="U50" i="11"/>
  <c r="G51" i="11"/>
  <c r="H51" i="11"/>
  <c r="I51" i="11"/>
  <c r="J51" i="11"/>
  <c r="K51" i="11"/>
  <c r="L51" i="11"/>
  <c r="M51" i="11"/>
  <c r="N51" i="11"/>
  <c r="O51" i="11"/>
  <c r="U51" i="11"/>
  <c r="G52" i="11"/>
  <c r="H52" i="11"/>
  <c r="I52" i="11"/>
  <c r="J52" i="11"/>
  <c r="K52" i="11"/>
  <c r="L52" i="11"/>
  <c r="M52" i="11"/>
  <c r="N52" i="11"/>
  <c r="O52" i="11"/>
  <c r="U52" i="11"/>
  <c r="G53" i="11"/>
  <c r="H53" i="11"/>
  <c r="I53" i="11"/>
  <c r="J53" i="11"/>
  <c r="K53" i="11"/>
  <c r="L53" i="11"/>
  <c r="M53" i="11"/>
  <c r="N53" i="11"/>
  <c r="O53" i="11"/>
  <c r="U53" i="11"/>
  <c r="G54" i="11"/>
  <c r="H54" i="11"/>
  <c r="I54" i="11"/>
  <c r="J54" i="11"/>
  <c r="K54" i="11"/>
  <c r="L54" i="11"/>
  <c r="M54" i="11"/>
  <c r="N54" i="11"/>
  <c r="O54" i="11"/>
  <c r="U54" i="11"/>
  <c r="G55" i="11"/>
  <c r="H55" i="11"/>
  <c r="I55" i="11"/>
  <c r="J55" i="11"/>
  <c r="K55" i="11"/>
  <c r="L55" i="11"/>
  <c r="M55" i="11"/>
  <c r="N55" i="11"/>
  <c r="O55" i="11"/>
  <c r="U55" i="11"/>
  <c r="G56" i="11"/>
  <c r="H56" i="11"/>
  <c r="I56" i="11"/>
  <c r="J56" i="11"/>
  <c r="K56" i="11"/>
  <c r="L56" i="11"/>
  <c r="M56" i="11"/>
  <c r="N56" i="11"/>
  <c r="O56" i="11"/>
  <c r="U56" i="11"/>
  <c r="G57" i="11"/>
  <c r="H57" i="11"/>
  <c r="I57" i="11"/>
  <c r="J57" i="11"/>
  <c r="K57" i="11"/>
  <c r="L57" i="11"/>
  <c r="M57" i="11"/>
  <c r="N57" i="11"/>
  <c r="O57" i="11"/>
  <c r="U57" i="11"/>
  <c r="G58" i="11"/>
  <c r="H58" i="11"/>
  <c r="I58" i="11"/>
  <c r="J58" i="11"/>
  <c r="K58" i="11"/>
  <c r="L58" i="11"/>
  <c r="M58" i="11"/>
  <c r="N58" i="11"/>
  <c r="O58" i="11"/>
  <c r="U58" i="11"/>
  <c r="G59" i="11"/>
  <c r="H59" i="11"/>
  <c r="I59" i="11"/>
  <c r="J59" i="11"/>
  <c r="K59" i="11"/>
  <c r="L59" i="11"/>
  <c r="M59" i="11"/>
  <c r="N59" i="11"/>
  <c r="O59" i="11"/>
  <c r="U59" i="11"/>
  <c r="G60" i="11"/>
  <c r="H60" i="11"/>
  <c r="I60" i="11"/>
  <c r="J60" i="11"/>
  <c r="K60" i="11"/>
  <c r="L60" i="11"/>
  <c r="M60" i="11"/>
  <c r="N60" i="11"/>
  <c r="O60" i="11"/>
  <c r="U60" i="11"/>
  <c r="G61" i="11"/>
  <c r="H61" i="11"/>
  <c r="I61" i="11"/>
  <c r="J61" i="11"/>
  <c r="K61" i="11"/>
  <c r="L61" i="11"/>
  <c r="M61" i="11"/>
  <c r="N61" i="11"/>
  <c r="O61" i="11"/>
  <c r="U61" i="11"/>
  <c r="G62" i="11"/>
  <c r="H62" i="11"/>
  <c r="I62" i="11"/>
  <c r="J62" i="11"/>
  <c r="K62" i="11"/>
  <c r="L62" i="11"/>
  <c r="M62" i="11"/>
  <c r="N62" i="11"/>
  <c r="O62" i="11"/>
  <c r="U62" i="11"/>
  <c r="G63" i="11"/>
  <c r="H63" i="11"/>
  <c r="I63" i="11"/>
  <c r="J63" i="11"/>
  <c r="K63" i="11"/>
  <c r="L63" i="11"/>
  <c r="M63" i="11"/>
  <c r="N63" i="11"/>
  <c r="O63" i="11"/>
  <c r="U63" i="11"/>
  <c r="G64" i="11"/>
  <c r="H64" i="11"/>
  <c r="I64" i="11"/>
  <c r="J64" i="11"/>
  <c r="K64" i="11"/>
  <c r="L64" i="11"/>
  <c r="M64" i="11"/>
  <c r="N64" i="11"/>
  <c r="O64" i="11"/>
  <c r="U64" i="11"/>
  <c r="G65" i="11"/>
  <c r="H65" i="11"/>
  <c r="I65" i="11"/>
  <c r="J65" i="11"/>
  <c r="K65" i="11"/>
  <c r="L65" i="11"/>
  <c r="M65" i="11"/>
  <c r="N65" i="11"/>
  <c r="O65" i="11"/>
  <c r="U65" i="11"/>
  <c r="G66" i="11"/>
  <c r="H66" i="11"/>
  <c r="I66" i="11"/>
  <c r="J66" i="11"/>
  <c r="K66" i="11"/>
  <c r="L66" i="11"/>
  <c r="M66" i="11"/>
  <c r="N66" i="11"/>
  <c r="O66" i="11"/>
  <c r="U66" i="11"/>
  <c r="G67" i="11"/>
  <c r="H67" i="11"/>
  <c r="I67" i="11"/>
  <c r="J67" i="11"/>
  <c r="K67" i="11"/>
  <c r="L67" i="11"/>
  <c r="M67" i="11"/>
  <c r="N67" i="11"/>
  <c r="O67" i="11"/>
  <c r="U67" i="11"/>
  <c r="G68" i="11"/>
  <c r="H68" i="11"/>
  <c r="I68" i="11"/>
  <c r="J68" i="11"/>
  <c r="K68" i="11"/>
  <c r="L68" i="11"/>
  <c r="M68" i="11"/>
  <c r="N68" i="11"/>
  <c r="O68" i="11"/>
  <c r="U68" i="11"/>
  <c r="G69" i="11"/>
  <c r="H69" i="11"/>
  <c r="I69" i="11"/>
  <c r="J69" i="11"/>
  <c r="K69" i="11"/>
  <c r="L69" i="11"/>
  <c r="M69" i="11"/>
  <c r="N69" i="11"/>
  <c r="O69" i="11"/>
  <c r="U69" i="11"/>
  <c r="H70" i="11"/>
  <c r="I70" i="11"/>
  <c r="J70" i="11"/>
  <c r="K70" i="11"/>
  <c r="L70" i="11"/>
  <c r="M70" i="11"/>
  <c r="N70" i="11"/>
  <c r="O70" i="11"/>
  <c r="U70" i="11"/>
  <c r="G71" i="11"/>
  <c r="H71" i="11"/>
  <c r="I71" i="11"/>
  <c r="J71" i="11"/>
  <c r="K71" i="11"/>
  <c r="L71" i="11"/>
  <c r="M71" i="11"/>
  <c r="N71" i="11"/>
  <c r="O71" i="11"/>
  <c r="U71" i="11"/>
  <c r="G72" i="11"/>
  <c r="H72" i="11"/>
  <c r="I72" i="11"/>
  <c r="J72" i="11"/>
  <c r="K72" i="11"/>
  <c r="L72" i="11"/>
  <c r="M72" i="11"/>
  <c r="N72" i="11"/>
  <c r="O72" i="11"/>
  <c r="U72" i="11"/>
  <c r="G73" i="11"/>
  <c r="H73" i="11"/>
  <c r="I73" i="11"/>
  <c r="J73" i="11"/>
  <c r="K73" i="11"/>
  <c r="L73" i="11"/>
  <c r="M73" i="11"/>
  <c r="N73" i="11"/>
  <c r="O73" i="11"/>
  <c r="U73" i="11"/>
  <c r="G74" i="11"/>
  <c r="H74" i="11"/>
  <c r="I74" i="11"/>
  <c r="J74" i="11"/>
  <c r="K74" i="11"/>
  <c r="L74" i="11"/>
  <c r="M74" i="11"/>
  <c r="N74" i="11"/>
  <c r="O74" i="11"/>
  <c r="U74" i="11"/>
  <c r="G75" i="11"/>
  <c r="H75" i="11"/>
  <c r="I75" i="11"/>
  <c r="J75" i="11"/>
  <c r="K75" i="11"/>
  <c r="L75" i="11"/>
  <c r="M75" i="11"/>
  <c r="N75" i="11"/>
  <c r="O75" i="11"/>
  <c r="U75" i="11"/>
  <c r="G76" i="11"/>
  <c r="H76" i="11"/>
  <c r="I76" i="11"/>
  <c r="J76" i="11"/>
  <c r="K76" i="11"/>
  <c r="L76" i="11"/>
  <c r="M76" i="11"/>
  <c r="N76" i="11"/>
  <c r="O76" i="11"/>
  <c r="U76" i="11"/>
  <c r="G77" i="11"/>
  <c r="H77" i="11"/>
  <c r="I77" i="11"/>
  <c r="J77" i="11"/>
  <c r="K77" i="11"/>
  <c r="L77" i="11"/>
  <c r="M77" i="11"/>
  <c r="N77" i="11"/>
  <c r="O77" i="11"/>
  <c r="U77" i="11"/>
  <c r="G78" i="11"/>
  <c r="H78" i="11"/>
  <c r="I78" i="11"/>
  <c r="J78" i="11"/>
  <c r="K78" i="11"/>
  <c r="L78" i="11"/>
  <c r="M78" i="11"/>
  <c r="N78" i="11"/>
  <c r="O78" i="11"/>
  <c r="U78" i="11"/>
  <c r="G79" i="11"/>
  <c r="H79" i="11"/>
  <c r="I79" i="11"/>
  <c r="J79" i="11"/>
  <c r="K79" i="11"/>
  <c r="L79" i="11"/>
  <c r="M79" i="11"/>
  <c r="N79" i="11"/>
  <c r="O79" i="11"/>
  <c r="U79" i="11"/>
  <c r="G80" i="11"/>
  <c r="H80" i="11"/>
  <c r="I80" i="11"/>
  <c r="J80" i="11"/>
  <c r="K80" i="11"/>
  <c r="L80" i="11"/>
  <c r="M80" i="11"/>
  <c r="N80" i="11"/>
  <c r="O80" i="11"/>
  <c r="U80" i="11"/>
  <c r="G81" i="11"/>
  <c r="H81" i="11"/>
  <c r="I81" i="11"/>
  <c r="J81" i="11"/>
  <c r="K81" i="11"/>
  <c r="L81" i="11"/>
  <c r="M81" i="11"/>
  <c r="N81" i="11"/>
  <c r="O81" i="11"/>
  <c r="U81" i="11"/>
  <c r="G82" i="11"/>
  <c r="H82" i="11"/>
  <c r="I82" i="11"/>
  <c r="J82" i="11"/>
  <c r="K82" i="11"/>
  <c r="L82" i="11"/>
  <c r="M82" i="11"/>
  <c r="N82" i="11"/>
  <c r="O82" i="11"/>
  <c r="U82" i="11"/>
  <c r="G83" i="11"/>
  <c r="H83" i="11"/>
  <c r="I83" i="11"/>
  <c r="J83" i="11"/>
  <c r="K83" i="11"/>
  <c r="L83" i="11"/>
  <c r="M83" i="11"/>
  <c r="N83" i="11"/>
  <c r="O83" i="11"/>
  <c r="U83" i="11"/>
  <c r="G84" i="11"/>
  <c r="H84" i="11"/>
  <c r="I84" i="11"/>
  <c r="J84" i="11"/>
  <c r="K84" i="11"/>
  <c r="L84" i="11"/>
  <c r="M84" i="11"/>
  <c r="N84" i="11"/>
  <c r="O84" i="11"/>
  <c r="U84" i="11"/>
  <c r="G85" i="11"/>
  <c r="H85" i="11"/>
  <c r="I85" i="11"/>
  <c r="J85" i="11"/>
  <c r="K85" i="11"/>
  <c r="L85" i="11"/>
  <c r="M85" i="11"/>
  <c r="N85" i="11"/>
  <c r="O85" i="11"/>
  <c r="U85" i="11"/>
  <c r="G86" i="11"/>
  <c r="H86" i="11"/>
  <c r="I86" i="11"/>
  <c r="J86" i="11"/>
  <c r="K86" i="11"/>
  <c r="L86" i="11"/>
  <c r="M86" i="11"/>
  <c r="N86" i="11"/>
  <c r="O86" i="11"/>
  <c r="U86" i="11"/>
  <c r="G87" i="11"/>
  <c r="H87" i="11"/>
  <c r="I87" i="11"/>
  <c r="J87" i="11"/>
  <c r="K87" i="11"/>
  <c r="L87" i="11"/>
  <c r="M87" i="11"/>
  <c r="N87" i="11"/>
  <c r="O87" i="11"/>
  <c r="U87" i="11"/>
  <c r="G88" i="11"/>
  <c r="H88" i="11"/>
  <c r="I88" i="11"/>
  <c r="J88" i="11"/>
  <c r="K88" i="11"/>
  <c r="L88" i="11"/>
  <c r="M88" i="11"/>
  <c r="N88" i="11"/>
  <c r="O88" i="11"/>
  <c r="U88" i="11"/>
  <c r="G89" i="11"/>
  <c r="H89" i="11"/>
  <c r="I89" i="11"/>
  <c r="J89" i="11"/>
  <c r="K89" i="11"/>
  <c r="L89" i="11"/>
  <c r="M89" i="11"/>
  <c r="N89" i="11"/>
  <c r="O89" i="11"/>
  <c r="U89" i="11"/>
  <c r="G90" i="11"/>
  <c r="H90" i="11"/>
  <c r="I90" i="11"/>
  <c r="J90" i="11"/>
  <c r="K90" i="11"/>
  <c r="L90" i="11"/>
  <c r="M90" i="11"/>
  <c r="N90" i="11"/>
  <c r="O90" i="11"/>
  <c r="U90" i="11"/>
  <c r="G91" i="11"/>
  <c r="H91" i="11"/>
  <c r="I91" i="11"/>
  <c r="J91" i="11"/>
  <c r="K91" i="11"/>
  <c r="L91" i="11"/>
  <c r="M91" i="11"/>
  <c r="N91" i="11"/>
  <c r="O91" i="11"/>
  <c r="U91" i="11"/>
  <c r="G92" i="11"/>
  <c r="H92" i="11"/>
  <c r="I92" i="11"/>
  <c r="J92" i="11"/>
  <c r="K92" i="11"/>
  <c r="L92" i="11"/>
  <c r="M92" i="11"/>
  <c r="N92" i="11"/>
  <c r="O92" i="11"/>
  <c r="U92" i="11"/>
  <c r="G93" i="11"/>
  <c r="H93" i="11"/>
  <c r="I93" i="11"/>
  <c r="J93" i="11"/>
  <c r="K93" i="11"/>
  <c r="L93" i="11"/>
  <c r="M93" i="11"/>
  <c r="N93" i="11"/>
  <c r="O93" i="11"/>
  <c r="U93" i="11"/>
  <c r="G94" i="11"/>
  <c r="H94" i="11"/>
  <c r="I94" i="11"/>
  <c r="J94" i="11"/>
  <c r="K94" i="11"/>
  <c r="L94" i="11"/>
  <c r="M94" i="11"/>
  <c r="N94" i="11"/>
  <c r="O94" i="11"/>
  <c r="U94" i="11"/>
  <c r="G95" i="11"/>
  <c r="H95" i="11"/>
  <c r="I95" i="11"/>
  <c r="J95" i="11"/>
  <c r="K95" i="11"/>
  <c r="L95" i="11"/>
  <c r="M95" i="11"/>
  <c r="N95" i="11"/>
  <c r="O95" i="11"/>
  <c r="U95" i="11"/>
  <c r="G96" i="11"/>
  <c r="H96" i="11"/>
  <c r="I96" i="11"/>
  <c r="J96" i="11"/>
  <c r="K96" i="11"/>
  <c r="L96" i="11"/>
  <c r="M96" i="11"/>
  <c r="N96" i="11"/>
  <c r="O96" i="11"/>
  <c r="U96" i="11"/>
  <c r="G97" i="11"/>
  <c r="H97" i="11"/>
  <c r="I97" i="11"/>
  <c r="J97" i="11"/>
  <c r="K97" i="11"/>
  <c r="L97" i="11"/>
  <c r="M97" i="11"/>
  <c r="N97" i="11"/>
  <c r="O97" i="11"/>
  <c r="U97" i="11"/>
  <c r="G98" i="11"/>
  <c r="H98" i="11"/>
  <c r="I98" i="11"/>
  <c r="J98" i="11"/>
  <c r="K98" i="11"/>
  <c r="L98" i="11"/>
  <c r="M98" i="11"/>
  <c r="N98" i="11"/>
  <c r="O98" i="11"/>
  <c r="U98" i="11"/>
  <c r="G99" i="11"/>
  <c r="H99" i="11"/>
  <c r="I99" i="11"/>
  <c r="J99" i="11"/>
  <c r="K99" i="11"/>
  <c r="L99" i="11"/>
  <c r="M99" i="11"/>
  <c r="N99" i="11"/>
  <c r="O99" i="11"/>
  <c r="U99" i="11"/>
  <c r="G100" i="11"/>
  <c r="H100" i="11"/>
  <c r="I100" i="11"/>
  <c r="J100" i="11"/>
  <c r="K100" i="11"/>
  <c r="L100" i="11"/>
  <c r="M100" i="11"/>
  <c r="N100" i="11"/>
  <c r="O100" i="11"/>
  <c r="U100" i="11"/>
  <c r="G101" i="11"/>
  <c r="H101" i="11"/>
  <c r="I101" i="11"/>
  <c r="J101" i="11"/>
  <c r="K101" i="11"/>
  <c r="L101" i="11"/>
  <c r="M101" i="11"/>
  <c r="N101" i="11"/>
  <c r="O101" i="11"/>
  <c r="U101" i="11"/>
  <c r="G102" i="11"/>
  <c r="H102" i="11"/>
  <c r="I102" i="11"/>
  <c r="J102" i="11"/>
  <c r="K102" i="11"/>
  <c r="L102" i="11"/>
  <c r="M102" i="11"/>
  <c r="N102" i="11"/>
  <c r="O102" i="11"/>
  <c r="U102" i="11"/>
  <c r="G103" i="11"/>
  <c r="H103" i="11"/>
  <c r="I103" i="11"/>
  <c r="J103" i="11"/>
  <c r="K103" i="11"/>
  <c r="L103" i="11"/>
  <c r="M103" i="11"/>
  <c r="N103" i="11"/>
  <c r="O103" i="11"/>
  <c r="U103" i="11"/>
  <c r="G104" i="11"/>
  <c r="H104" i="11"/>
  <c r="I104" i="11"/>
  <c r="J104" i="11"/>
  <c r="K104" i="11"/>
  <c r="L104" i="11"/>
  <c r="M104" i="11"/>
  <c r="N104" i="11"/>
  <c r="O104" i="11"/>
  <c r="U104" i="11"/>
  <c r="G105" i="11"/>
  <c r="H105" i="11"/>
  <c r="I105" i="11"/>
  <c r="J105" i="11"/>
  <c r="K105" i="11"/>
  <c r="L105" i="11"/>
  <c r="M105" i="11"/>
  <c r="N105" i="11"/>
  <c r="O105" i="11"/>
  <c r="U105" i="11"/>
  <c r="G106" i="11"/>
  <c r="H106" i="11"/>
  <c r="I106" i="11"/>
  <c r="J106" i="11"/>
  <c r="K106" i="11"/>
  <c r="L106" i="11"/>
  <c r="M106" i="11"/>
  <c r="N106" i="11"/>
  <c r="O106" i="11"/>
  <c r="U106" i="11"/>
  <c r="G107" i="11"/>
  <c r="H107" i="11"/>
  <c r="I107" i="11"/>
  <c r="J107" i="11"/>
  <c r="K107" i="11"/>
  <c r="L107" i="11"/>
  <c r="M107" i="11"/>
  <c r="N107" i="11"/>
  <c r="O107" i="11"/>
  <c r="U107" i="11"/>
  <c r="G108" i="11"/>
  <c r="H108" i="11"/>
  <c r="I108" i="11"/>
  <c r="J108" i="11"/>
  <c r="K108" i="11"/>
  <c r="L108" i="11"/>
  <c r="M108" i="11"/>
  <c r="N108" i="11"/>
  <c r="O108" i="11"/>
  <c r="U108" i="11"/>
  <c r="H109" i="11"/>
  <c r="I109" i="11"/>
  <c r="J109" i="11"/>
  <c r="K109" i="11"/>
  <c r="L109" i="11"/>
  <c r="M109" i="11"/>
  <c r="N109" i="11"/>
  <c r="O109" i="11"/>
  <c r="U109" i="11"/>
  <c r="G110" i="11"/>
  <c r="H110" i="11"/>
  <c r="I110" i="11"/>
  <c r="J110" i="11"/>
  <c r="K110" i="11"/>
  <c r="L110" i="11"/>
  <c r="M110" i="11"/>
  <c r="N110" i="11"/>
  <c r="O110" i="11"/>
  <c r="U110" i="11"/>
  <c r="G111" i="11"/>
  <c r="H111" i="11"/>
  <c r="I111" i="11"/>
  <c r="J111" i="11"/>
  <c r="K111" i="11"/>
  <c r="L111" i="11"/>
  <c r="M111" i="11"/>
  <c r="N111" i="11"/>
  <c r="O111" i="11"/>
  <c r="U111" i="11"/>
  <c r="G112" i="11"/>
  <c r="H112" i="11"/>
  <c r="I112" i="11"/>
  <c r="J112" i="11"/>
  <c r="K112" i="11"/>
  <c r="L112" i="11"/>
  <c r="M112" i="11"/>
  <c r="N112" i="11"/>
  <c r="O112" i="11"/>
  <c r="U112" i="11"/>
  <c r="G113" i="11"/>
  <c r="H113" i="11"/>
  <c r="I113" i="11"/>
  <c r="J113" i="11"/>
  <c r="K113" i="11"/>
  <c r="L113" i="11"/>
  <c r="M113" i="11"/>
  <c r="N113" i="11"/>
  <c r="O113" i="11"/>
  <c r="U113" i="11"/>
  <c r="G114" i="11"/>
  <c r="H114" i="11"/>
  <c r="I114" i="11"/>
  <c r="J114" i="11"/>
  <c r="K114" i="11"/>
  <c r="L114" i="11"/>
  <c r="M114" i="11"/>
  <c r="N114" i="11"/>
  <c r="O114" i="11"/>
  <c r="U114" i="11"/>
  <c r="G115" i="11"/>
  <c r="H115" i="11"/>
  <c r="I115" i="11"/>
  <c r="J115" i="11"/>
  <c r="K115" i="11"/>
  <c r="L115" i="11"/>
  <c r="M115" i="11"/>
  <c r="N115" i="11"/>
  <c r="O115" i="11"/>
  <c r="U115" i="11"/>
  <c r="G116" i="11"/>
  <c r="H116" i="11"/>
  <c r="I116" i="11"/>
  <c r="J116" i="11"/>
  <c r="K116" i="11"/>
  <c r="L116" i="11"/>
  <c r="M116" i="11"/>
  <c r="N116" i="11"/>
  <c r="O116" i="11"/>
  <c r="U116" i="11"/>
  <c r="U20" i="11"/>
  <c r="S176" i="5"/>
  <c r="V110" i="11"/>
  <c r="B29" i="15"/>
  <c r="C29" i="15"/>
  <c r="C28" i="15"/>
  <c r="C33" i="15"/>
  <c r="B33" i="15"/>
  <c r="C30" i="15"/>
  <c r="B27" i="15"/>
  <c r="B31" i="15"/>
  <c r="C40" i="15"/>
  <c r="C39" i="15"/>
  <c r="C32" i="15"/>
  <c r="C31" i="15"/>
  <c r="C27" i="15"/>
  <c r="T20" i="11"/>
  <c r="BA20" i="11"/>
  <c r="BB20" i="11"/>
  <c r="T21" i="11"/>
  <c r="BA21" i="11"/>
  <c r="BB21" i="11"/>
  <c r="P22" i="11"/>
  <c r="T22" i="11"/>
  <c r="BA22" i="11"/>
  <c r="BB22" i="11"/>
  <c r="P23" i="11"/>
  <c r="T23" i="11"/>
  <c r="BA23" i="11"/>
  <c r="BB23" i="11"/>
  <c r="P24" i="11"/>
  <c r="T24" i="11"/>
  <c r="BA24" i="11"/>
  <c r="BB24" i="11"/>
  <c r="P25" i="11"/>
  <c r="T25" i="11"/>
  <c r="BA25" i="11"/>
  <c r="BB25" i="11"/>
  <c r="P26" i="11"/>
  <c r="T26" i="11"/>
  <c r="BA26" i="11"/>
  <c r="BB26" i="11"/>
  <c r="P27" i="11"/>
  <c r="T27" i="11"/>
  <c r="BA27" i="11"/>
  <c r="BB27" i="11"/>
  <c r="P28" i="11"/>
  <c r="T28" i="11"/>
  <c r="BA28" i="11"/>
  <c r="BB28" i="11"/>
  <c r="P29" i="11"/>
  <c r="T29" i="11"/>
  <c r="BA29" i="11"/>
  <c r="BB29" i="11"/>
  <c r="P30" i="11"/>
  <c r="T30" i="11"/>
  <c r="BA30" i="11"/>
  <c r="BB30" i="11"/>
  <c r="P31" i="11"/>
  <c r="T31" i="11"/>
  <c r="BA31" i="11"/>
  <c r="BB31" i="11"/>
  <c r="P32" i="11"/>
  <c r="T32" i="11"/>
  <c r="BA32" i="11"/>
  <c r="BB32" i="11"/>
  <c r="P33" i="11"/>
  <c r="T33" i="11"/>
  <c r="BA33" i="11"/>
  <c r="BB33" i="11"/>
  <c r="P34" i="11"/>
  <c r="T34" i="11"/>
  <c r="BA34" i="11"/>
  <c r="BB34" i="11"/>
  <c r="P35" i="11"/>
  <c r="Q35" i="11"/>
  <c r="S35" i="11"/>
  <c r="T35" i="11"/>
  <c r="BA35" i="11"/>
  <c r="BB35" i="11"/>
  <c r="P36" i="11"/>
  <c r="Q36" i="11"/>
  <c r="S36" i="11"/>
  <c r="T36" i="11"/>
  <c r="BA36" i="11"/>
  <c r="BB36" i="11"/>
  <c r="P37" i="11"/>
  <c r="Q37" i="11"/>
  <c r="S37" i="11"/>
  <c r="T37" i="11"/>
  <c r="BA37" i="11"/>
  <c r="BB37" i="11"/>
  <c r="P38" i="11"/>
  <c r="Q38" i="11"/>
  <c r="S38" i="11"/>
  <c r="T38" i="11"/>
  <c r="BA38" i="11"/>
  <c r="BB38" i="11"/>
  <c r="P39" i="11"/>
  <c r="Q39" i="11"/>
  <c r="S39" i="11"/>
  <c r="T39" i="11"/>
  <c r="BA39" i="11"/>
  <c r="BB39" i="11"/>
  <c r="P40" i="11"/>
  <c r="Q40" i="11"/>
  <c r="S40" i="11"/>
  <c r="T40" i="11"/>
  <c r="BA40" i="11"/>
  <c r="BB40" i="11"/>
  <c r="P41" i="11"/>
  <c r="Q41" i="11"/>
  <c r="S41" i="11"/>
  <c r="T41" i="11"/>
  <c r="BA41" i="11"/>
  <c r="BB41" i="11"/>
  <c r="P42" i="11"/>
  <c r="Q42" i="11"/>
  <c r="S42" i="11"/>
  <c r="T42" i="11"/>
  <c r="BA42" i="11"/>
  <c r="BB42" i="11"/>
  <c r="P43" i="11"/>
  <c r="Q43" i="11"/>
  <c r="S43" i="11"/>
  <c r="T43" i="11"/>
  <c r="BA43" i="11"/>
  <c r="BB43" i="11"/>
  <c r="P44" i="11"/>
  <c r="Q44" i="11"/>
  <c r="S44" i="11"/>
  <c r="T44" i="11"/>
  <c r="BA44" i="11"/>
  <c r="BB44" i="11"/>
  <c r="P45" i="11"/>
  <c r="Q45" i="11"/>
  <c r="S45" i="11"/>
  <c r="T45" i="11"/>
  <c r="BA45" i="11"/>
  <c r="BB45" i="11"/>
  <c r="P46" i="11"/>
  <c r="Q46" i="11"/>
  <c r="S46" i="11"/>
  <c r="T46" i="11"/>
  <c r="BA46" i="11"/>
  <c r="BB46" i="11"/>
  <c r="P47" i="11"/>
  <c r="Q47" i="11"/>
  <c r="S47" i="11"/>
  <c r="T47" i="11"/>
  <c r="BA47" i="11"/>
  <c r="BB47" i="11"/>
  <c r="P48" i="11"/>
  <c r="Q48" i="11"/>
  <c r="S48" i="11"/>
  <c r="T48" i="11"/>
  <c r="BA48" i="11"/>
  <c r="BB48" i="11"/>
  <c r="P49" i="11"/>
  <c r="Q49" i="11"/>
  <c r="S49" i="11"/>
  <c r="T49" i="11"/>
  <c r="BA49" i="11"/>
  <c r="BB49" i="11"/>
  <c r="BB10" i="11"/>
  <c r="L8" i="14"/>
  <c r="BC20" i="11"/>
  <c r="BC21" i="11"/>
  <c r="BC22" i="11"/>
  <c r="BC23" i="11"/>
  <c r="BC24" i="11"/>
  <c r="BC25" i="11"/>
  <c r="BC26" i="11"/>
  <c r="BC27" i="11"/>
  <c r="BC28" i="11"/>
  <c r="BC29" i="11"/>
  <c r="BC30" i="11"/>
  <c r="BC31" i="11"/>
  <c r="BC32" i="11"/>
  <c r="BC33" i="11"/>
  <c r="BC34" i="11"/>
  <c r="BC35" i="11"/>
  <c r="BC36" i="11"/>
  <c r="BC37" i="11"/>
  <c r="BC38" i="11"/>
  <c r="BC39" i="11"/>
  <c r="BC40" i="11"/>
  <c r="BC41" i="11"/>
  <c r="BC42" i="11"/>
  <c r="BC43" i="11"/>
  <c r="BC44" i="11"/>
  <c r="BC45" i="11"/>
  <c r="BC46" i="11"/>
  <c r="BC47" i="11"/>
  <c r="BC48" i="11"/>
  <c r="BC49" i="11"/>
  <c r="BC10" i="11"/>
  <c r="M8" i="14"/>
  <c r="BD20" i="11"/>
  <c r="BD21" i="11"/>
  <c r="BD22" i="11"/>
  <c r="BD23" i="11"/>
  <c r="BD24" i="11"/>
  <c r="BD25" i="11"/>
  <c r="BD26" i="11"/>
  <c r="BD27" i="11"/>
  <c r="BD28" i="11"/>
  <c r="BD29" i="11"/>
  <c r="BD30" i="11"/>
  <c r="BD31" i="11"/>
  <c r="BD32" i="11"/>
  <c r="BD33" i="11"/>
  <c r="BD34" i="11"/>
  <c r="BD35" i="11"/>
  <c r="BD36" i="11"/>
  <c r="BD37" i="11"/>
  <c r="BD38" i="11"/>
  <c r="BD39" i="11"/>
  <c r="BD40" i="11"/>
  <c r="BD41" i="11"/>
  <c r="BD42" i="11"/>
  <c r="BD43" i="11"/>
  <c r="BD44" i="11"/>
  <c r="BD45" i="11"/>
  <c r="BD46" i="11"/>
  <c r="BD47" i="11"/>
  <c r="BD48" i="11"/>
  <c r="BD49" i="11"/>
  <c r="BD10" i="11"/>
  <c r="N8" i="14"/>
  <c r="BE20" i="11"/>
  <c r="BE21" i="11"/>
  <c r="BE22" i="11"/>
  <c r="BE23" i="11"/>
  <c r="BE24" i="11"/>
  <c r="BE25" i="11"/>
  <c r="BE26" i="11"/>
  <c r="BE27" i="11"/>
  <c r="BE28" i="11"/>
  <c r="BE29" i="11"/>
  <c r="BE30" i="11"/>
  <c r="BE31" i="11"/>
  <c r="BE32" i="11"/>
  <c r="BE33" i="11"/>
  <c r="BE34" i="11"/>
  <c r="BE35" i="11"/>
  <c r="BE36" i="11"/>
  <c r="BE37" i="11"/>
  <c r="BE38" i="11"/>
  <c r="BE39" i="11"/>
  <c r="BE40" i="11"/>
  <c r="BE41" i="11"/>
  <c r="BE42" i="11"/>
  <c r="BE43" i="11"/>
  <c r="BE44" i="11"/>
  <c r="BE45" i="11"/>
  <c r="BE46" i="11"/>
  <c r="BE47" i="11"/>
  <c r="BE48" i="11"/>
  <c r="BE49" i="11"/>
  <c r="BE10" i="11"/>
  <c r="O8" i="14"/>
  <c r="P50" i="11"/>
  <c r="Q50" i="11"/>
  <c r="S50" i="11"/>
  <c r="T50" i="11"/>
  <c r="BA50" i="11"/>
  <c r="BB50" i="11"/>
  <c r="P51" i="11"/>
  <c r="Q51" i="11"/>
  <c r="S51" i="11"/>
  <c r="T51" i="11"/>
  <c r="BA51" i="11"/>
  <c r="BB51" i="11"/>
  <c r="P52" i="11"/>
  <c r="Q52" i="11"/>
  <c r="S52" i="11"/>
  <c r="T52" i="11"/>
  <c r="BA52" i="11"/>
  <c r="BB52" i="11"/>
  <c r="P53" i="11"/>
  <c r="Q53" i="11"/>
  <c r="S53" i="11"/>
  <c r="T53" i="11"/>
  <c r="BA53" i="11"/>
  <c r="BB53" i="11"/>
  <c r="P54" i="11"/>
  <c r="Q54" i="11"/>
  <c r="S54" i="11"/>
  <c r="T54" i="11"/>
  <c r="BA54" i="11"/>
  <c r="BB54" i="11"/>
  <c r="P55" i="11"/>
  <c r="Q55" i="11"/>
  <c r="S55" i="11"/>
  <c r="T55" i="11"/>
  <c r="BA55" i="11"/>
  <c r="BB55" i="11"/>
  <c r="P56" i="11"/>
  <c r="Q56" i="11"/>
  <c r="S56" i="11"/>
  <c r="T56" i="11"/>
  <c r="BA56" i="11"/>
  <c r="BB56" i="11"/>
  <c r="P57" i="11"/>
  <c r="Q57" i="11"/>
  <c r="S57" i="11"/>
  <c r="T57" i="11"/>
  <c r="BA57" i="11"/>
  <c r="BB57" i="11"/>
  <c r="P58" i="11"/>
  <c r="Q58" i="11"/>
  <c r="S58" i="11"/>
  <c r="T58" i="11"/>
  <c r="BA58" i="11"/>
  <c r="BB58" i="11"/>
  <c r="P59" i="11"/>
  <c r="Q59" i="11"/>
  <c r="S59" i="11"/>
  <c r="T59" i="11"/>
  <c r="BA59" i="11"/>
  <c r="BB59" i="11"/>
  <c r="P60" i="11"/>
  <c r="Q60" i="11"/>
  <c r="S60" i="11"/>
  <c r="T60" i="11"/>
  <c r="BA60" i="11"/>
  <c r="BB60" i="11"/>
  <c r="P61" i="11"/>
  <c r="Q61" i="11"/>
  <c r="S61" i="11"/>
  <c r="T61" i="11"/>
  <c r="BA61" i="11"/>
  <c r="BB61" i="11"/>
  <c r="P62" i="11"/>
  <c r="Q62" i="11"/>
  <c r="S62" i="11"/>
  <c r="T62" i="11"/>
  <c r="BA62" i="11"/>
  <c r="BB62" i="11"/>
  <c r="P63" i="11"/>
  <c r="Q63" i="11"/>
  <c r="S63" i="11"/>
  <c r="T63" i="11"/>
  <c r="BA63" i="11"/>
  <c r="BB63" i="11"/>
  <c r="P64" i="11"/>
  <c r="Q64" i="11"/>
  <c r="S64" i="11"/>
  <c r="T64" i="11"/>
  <c r="BA64" i="11"/>
  <c r="BB64" i="11"/>
  <c r="P65" i="11"/>
  <c r="Q65" i="11"/>
  <c r="S65" i="11"/>
  <c r="T65" i="11"/>
  <c r="BA65" i="11"/>
  <c r="BB65" i="11"/>
  <c r="P66" i="11"/>
  <c r="Q66" i="11"/>
  <c r="S66" i="11"/>
  <c r="T66" i="11"/>
  <c r="BA66" i="11"/>
  <c r="BB66" i="11"/>
  <c r="P67" i="11"/>
  <c r="Q67" i="11"/>
  <c r="S67" i="11"/>
  <c r="T67" i="11"/>
  <c r="BA67" i="11"/>
  <c r="BB67" i="11"/>
  <c r="P68" i="11"/>
  <c r="Q68" i="11"/>
  <c r="S68" i="11"/>
  <c r="T68" i="11"/>
  <c r="BA68" i="11"/>
  <c r="BB68" i="11"/>
  <c r="P69" i="11"/>
  <c r="Q69" i="11"/>
  <c r="S69" i="11"/>
  <c r="T69" i="11"/>
  <c r="BA69" i="11"/>
  <c r="BB69" i="11"/>
  <c r="P70" i="11"/>
  <c r="Q70" i="11"/>
  <c r="S70" i="11"/>
  <c r="T70" i="11"/>
  <c r="BA70" i="11"/>
  <c r="BB70" i="11"/>
  <c r="P71" i="11"/>
  <c r="Q71" i="11"/>
  <c r="S71" i="11"/>
  <c r="T71" i="11"/>
  <c r="BA71" i="11"/>
  <c r="BB71" i="11"/>
  <c r="P72" i="11"/>
  <c r="Q72" i="11"/>
  <c r="S72" i="11"/>
  <c r="T72" i="11"/>
  <c r="BA72" i="11"/>
  <c r="BB72" i="11"/>
  <c r="P73" i="11"/>
  <c r="Q73" i="11"/>
  <c r="S73" i="11"/>
  <c r="T73" i="11"/>
  <c r="BA73" i="11"/>
  <c r="BB73" i="11"/>
  <c r="P74" i="11"/>
  <c r="Q74" i="11"/>
  <c r="S74" i="11"/>
  <c r="T74" i="11"/>
  <c r="BA74" i="11"/>
  <c r="BB74" i="11"/>
  <c r="P75" i="11"/>
  <c r="Q75" i="11"/>
  <c r="S75" i="11"/>
  <c r="T75" i="11"/>
  <c r="BA75" i="11"/>
  <c r="BB75" i="11"/>
  <c r="P76" i="11"/>
  <c r="Q76" i="11"/>
  <c r="S76" i="11"/>
  <c r="T76" i="11"/>
  <c r="BA76" i="11"/>
  <c r="BB76" i="11"/>
  <c r="P77" i="11"/>
  <c r="Q77" i="11"/>
  <c r="S77" i="11"/>
  <c r="T77" i="11"/>
  <c r="BA77" i="11"/>
  <c r="BB77" i="11"/>
  <c r="P78" i="11"/>
  <c r="Q78" i="11"/>
  <c r="S78" i="11"/>
  <c r="T78" i="11"/>
  <c r="BA78" i="11"/>
  <c r="BB78" i="11"/>
  <c r="P79" i="11"/>
  <c r="Q79" i="11"/>
  <c r="S79" i="11"/>
  <c r="T79" i="11"/>
  <c r="BA79" i="11"/>
  <c r="BB79" i="11"/>
  <c r="P80" i="11"/>
  <c r="Q80" i="11"/>
  <c r="S80" i="11"/>
  <c r="T80" i="11"/>
  <c r="BA80" i="11"/>
  <c r="BB80" i="11"/>
  <c r="P81" i="11"/>
  <c r="Q81" i="11"/>
  <c r="S81" i="11"/>
  <c r="T81" i="11"/>
  <c r="BA81" i="11"/>
  <c r="BB81" i="11"/>
  <c r="P82" i="11"/>
  <c r="Q82" i="11"/>
  <c r="S82" i="11"/>
  <c r="T82" i="11"/>
  <c r="BA82" i="11"/>
  <c r="BB82" i="11"/>
  <c r="P83" i="11"/>
  <c r="Q83" i="11"/>
  <c r="S83" i="11"/>
  <c r="T83" i="11"/>
  <c r="BA83" i="11"/>
  <c r="BB83" i="11"/>
  <c r="P84" i="11"/>
  <c r="Q84" i="11"/>
  <c r="S84" i="11"/>
  <c r="T84" i="11"/>
  <c r="BA84" i="11"/>
  <c r="BB84" i="11"/>
  <c r="P85" i="11"/>
  <c r="Q85" i="11"/>
  <c r="S85" i="11"/>
  <c r="T85" i="11"/>
  <c r="BA85" i="11"/>
  <c r="BB85" i="11"/>
  <c r="P86" i="11"/>
  <c r="Q86" i="11"/>
  <c r="S86" i="11"/>
  <c r="T86" i="11"/>
  <c r="BA86" i="11"/>
  <c r="BB86" i="11"/>
  <c r="P87" i="11"/>
  <c r="Q87" i="11"/>
  <c r="S87" i="11"/>
  <c r="T87" i="11"/>
  <c r="BA87" i="11"/>
  <c r="BB87" i="11"/>
  <c r="P88" i="11"/>
  <c r="Q88" i="11"/>
  <c r="S88" i="11"/>
  <c r="T88" i="11"/>
  <c r="BA88" i="11"/>
  <c r="BB88" i="11"/>
  <c r="P89" i="11"/>
  <c r="Q89" i="11"/>
  <c r="S89" i="11"/>
  <c r="T89" i="11"/>
  <c r="BA89" i="11"/>
  <c r="BB89" i="11"/>
  <c r="P90" i="11"/>
  <c r="Q90" i="11"/>
  <c r="S90" i="11"/>
  <c r="T90" i="11"/>
  <c r="BA90" i="11"/>
  <c r="BB90" i="11"/>
  <c r="P91" i="11"/>
  <c r="Q91" i="11"/>
  <c r="S91" i="11"/>
  <c r="T91" i="11"/>
  <c r="BA91" i="11"/>
  <c r="BB91" i="11"/>
  <c r="P92" i="11"/>
  <c r="Q92" i="11"/>
  <c r="S92" i="11"/>
  <c r="T92" i="11"/>
  <c r="BA92" i="11"/>
  <c r="BB92" i="11"/>
  <c r="P93" i="11"/>
  <c r="Q93" i="11"/>
  <c r="S93" i="11"/>
  <c r="T93" i="11"/>
  <c r="BA93" i="11"/>
  <c r="BB93" i="11"/>
  <c r="P94" i="11"/>
  <c r="Q94" i="11"/>
  <c r="S94" i="11"/>
  <c r="T94" i="11"/>
  <c r="BA94" i="11"/>
  <c r="BB94" i="11"/>
  <c r="P95" i="11"/>
  <c r="Q95" i="11"/>
  <c r="S95" i="11"/>
  <c r="T95" i="11"/>
  <c r="BA95" i="11"/>
  <c r="BB95" i="11"/>
  <c r="P96" i="11"/>
  <c r="Q96" i="11"/>
  <c r="S96" i="11"/>
  <c r="T96" i="11"/>
  <c r="BA96" i="11"/>
  <c r="BB96" i="11"/>
  <c r="P97" i="11"/>
  <c r="Q97" i="11"/>
  <c r="S97" i="11"/>
  <c r="T97" i="11"/>
  <c r="BA97" i="11"/>
  <c r="BB97" i="11"/>
  <c r="P98" i="11"/>
  <c r="Q98" i="11"/>
  <c r="S98" i="11"/>
  <c r="T98" i="11"/>
  <c r="BA98" i="11"/>
  <c r="BB98" i="11"/>
  <c r="P99" i="11"/>
  <c r="Q99" i="11"/>
  <c r="S99" i="11"/>
  <c r="T99" i="11"/>
  <c r="BA99" i="11"/>
  <c r="BB99" i="11"/>
  <c r="P100" i="11"/>
  <c r="Q100" i="11"/>
  <c r="S100" i="11"/>
  <c r="T100" i="11"/>
  <c r="BA100" i="11"/>
  <c r="BB100" i="11"/>
  <c r="P101" i="11"/>
  <c r="Q101" i="11"/>
  <c r="S101" i="11"/>
  <c r="T101" i="11"/>
  <c r="BA101" i="11"/>
  <c r="BB101" i="11"/>
  <c r="P102" i="11"/>
  <c r="Q102" i="11"/>
  <c r="S102" i="11"/>
  <c r="T102" i="11"/>
  <c r="BA102" i="11"/>
  <c r="BB102" i="11"/>
  <c r="P103" i="11"/>
  <c r="Q103" i="11"/>
  <c r="S103" i="11"/>
  <c r="T103" i="11"/>
  <c r="BA103" i="11"/>
  <c r="BB103" i="11"/>
  <c r="P104" i="11"/>
  <c r="Q104" i="11"/>
  <c r="S104" i="11"/>
  <c r="T104" i="11"/>
  <c r="BA104" i="11"/>
  <c r="BB104" i="11"/>
  <c r="P105" i="11"/>
  <c r="Q105" i="11"/>
  <c r="S105" i="11"/>
  <c r="T105" i="11"/>
  <c r="BA105" i="11"/>
  <c r="BB105" i="11"/>
  <c r="P106" i="11"/>
  <c r="Q106" i="11"/>
  <c r="S106" i="11"/>
  <c r="T106" i="11"/>
  <c r="BA106" i="11"/>
  <c r="BB106" i="11"/>
  <c r="P107" i="11"/>
  <c r="Q107" i="11"/>
  <c r="S107" i="11"/>
  <c r="T107" i="11"/>
  <c r="BA107" i="11"/>
  <c r="BB107" i="11"/>
  <c r="P108" i="11"/>
  <c r="Q108" i="11"/>
  <c r="S108" i="11"/>
  <c r="T108" i="11"/>
  <c r="BA108" i="11"/>
  <c r="BB108" i="11"/>
  <c r="P109" i="11"/>
  <c r="Q109" i="11"/>
  <c r="S109" i="11"/>
  <c r="T109" i="11"/>
  <c r="BA109" i="11"/>
  <c r="BB109" i="11"/>
  <c r="P110" i="11"/>
  <c r="Q110" i="11"/>
  <c r="S110" i="11"/>
  <c r="T110" i="11"/>
  <c r="BA110" i="11"/>
  <c r="BB110" i="11"/>
  <c r="P111" i="11"/>
  <c r="Q111" i="11"/>
  <c r="S111" i="11"/>
  <c r="T111" i="11"/>
  <c r="BA111" i="11"/>
  <c r="BB111" i="11"/>
  <c r="P112" i="11"/>
  <c r="Q112" i="11"/>
  <c r="S112" i="11"/>
  <c r="T112" i="11"/>
  <c r="BA112" i="11"/>
  <c r="BB112" i="11"/>
  <c r="P113" i="11"/>
  <c r="Q113" i="11"/>
  <c r="S113" i="11"/>
  <c r="T113" i="11"/>
  <c r="BA113" i="11"/>
  <c r="BB113" i="11"/>
  <c r="P114" i="11"/>
  <c r="Q114" i="11"/>
  <c r="S114" i="11"/>
  <c r="T114" i="11"/>
  <c r="BA114" i="11"/>
  <c r="BB114" i="11"/>
  <c r="P115" i="11"/>
  <c r="Q115" i="11"/>
  <c r="S115" i="11"/>
  <c r="T115" i="11"/>
  <c r="BA115" i="11"/>
  <c r="BB115" i="11"/>
  <c r="P116" i="11"/>
  <c r="Q116" i="11"/>
  <c r="S116" i="11"/>
  <c r="T116" i="11"/>
  <c r="BA116" i="11"/>
  <c r="BB116" i="11"/>
  <c r="BB11" i="11"/>
  <c r="L9" i="14"/>
  <c r="BC50" i="11"/>
  <c r="BC51" i="11"/>
  <c r="BC52" i="11"/>
  <c r="BC53" i="11"/>
  <c r="BC54" i="11"/>
  <c r="BC55" i="11"/>
  <c r="BC56" i="11"/>
  <c r="BC57" i="11"/>
  <c r="BC58" i="11"/>
  <c r="BC59" i="11"/>
  <c r="BC60" i="11"/>
  <c r="BC61" i="11"/>
  <c r="BC62" i="11"/>
  <c r="BC63" i="11"/>
  <c r="BC64" i="11"/>
  <c r="BC65" i="11"/>
  <c r="BC66" i="11"/>
  <c r="BC67" i="11"/>
  <c r="BC68" i="11"/>
  <c r="BC69" i="11"/>
  <c r="BC70" i="11"/>
  <c r="BC71" i="11"/>
  <c r="BC72" i="11"/>
  <c r="BC73" i="11"/>
  <c r="BC74" i="11"/>
  <c r="BC75" i="11"/>
  <c r="BC76" i="11"/>
  <c r="BC77" i="11"/>
  <c r="BC78" i="11"/>
  <c r="BC79" i="11"/>
  <c r="BC80" i="11"/>
  <c r="BC81" i="11"/>
  <c r="BC82" i="11"/>
  <c r="BC83" i="11"/>
  <c r="BC84" i="11"/>
  <c r="BC85" i="11"/>
  <c r="BC86" i="11"/>
  <c r="BC87" i="11"/>
  <c r="BC88" i="11"/>
  <c r="BC89" i="11"/>
  <c r="BC90" i="11"/>
  <c r="BC91" i="11"/>
  <c r="BC92" i="11"/>
  <c r="BC93" i="11"/>
  <c r="BC94" i="11"/>
  <c r="BC95" i="11"/>
  <c r="BC96" i="11"/>
  <c r="BC97" i="11"/>
  <c r="BC98" i="11"/>
  <c r="BC99" i="11"/>
  <c r="BC100" i="11"/>
  <c r="BC101" i="11"/>
  <c r="BC102" i="11"/>
  <c r="BC103" i="11"/>
  <c r="BC104" i="11"/>
  <c r="BC105" i="11"/>
  <c r="BC106" i="11"/>
  <c r="BC107" i="11"/>
  <c r="BC108" i="11"/>
  <c r="BC109" i="11"/>
  <c r="BC110" i="11"/>
  <c r="BC111" i="11"/>
  <c r="BC112" i="11"/>
  <c r="BC113" i="11"/>
  <c r="BC114" i="11"/>
  <c r="BC115" i="11"/>
  <c r="BC116" i="11"/>
  <c r="BC11" i="11"/>
  <c r="M9" i="14"/>
  <c r="BD50" i="11"/>
  <c r="BD51" i="11"/>
  <c r="BD52" i="11"/>
  <c r="BD53" i="11"/>
  <c r="BD54" i="11"/>
  <c r="BD55" i="11"/>
  <c r="BD56" i="11"/>
  <c r="BD57" i="11"/>
  <c r="BD58" i="11"/>
  <c r="BD59" i="11"/>
  <c r="BD60" i="11"/>
  <c r="BD61" i="11"/>
  <c r="BD62" i="11"/>
  <c r="BD63" i="11"/>
  <c r="BD64" i="11"/>
  <c r="BD65" i="11"/>
  <c r="BD66" i="11"/>
  <c r="BD67" i="11"/>
  <c r="BD68" i="11"/>
  <c r="BD69" i="11"/>
  <c r="BD70" i="11"/>
  <c r="BD71" i="11"/>
  <c r="BD72" i="11"/>
  <c r="BD73" i="11"/>
  <c r="BD74" i="11"/>
  <c r="BD75" i="11"/>
  <c r="BD76" i="11"/>
  <c r="BD77" i="11"/>
  <c r="BD78" i="11"/>
  <c r="BD79" i="11"/>
  <c r="BD80" i="11"/>
  <c r="BD81" i="11"/>
  <c r="BD82" i="11"/>
  <c r="BD83" i="11"/>
  <c r="BD84" i="11"/>
  <c r="BD85" i="11"/>
  <c r="BD86" i="11"/>
  <c r="BD87" i="11"/>
  <c r="BD88" i="11"/>
  <c r="BD89" i="11"/>
  <c r="BD90" i="11"/>
  <c r="BD91" i="11"/>
  <c r="BD92" i="11"/>
  <c r="BD93" i="11"/>
  <c r="BD94" i="11"/>
  <c r="BD95" i="11"/>
  <c r="BD96" i="11"/>
  <c r="BD97" i="11"/>
  <c r="BD98" i="11"/>
  <c r="BD99" i="11"/>
  <c r="BD100" i="11"/>
  <c r="BD101" i="11"/>
  <c r="BD102" i="11"/>
  <c r="BD103" i="11"/>
  <c r="BD104" i="11"/>
  <c r="BD105" i="11"/>
  <c r="BD106" i="11"/>
  <c r="BD107" i="11"/>
  <c r="BD108" i="11"/>
  <c r="BD109" i="11"/>
  <c r="BD110" i="11"/>
  <c r="BD111" i="11"/>
  <c r="BD112" i="11"/>
  <c r="BD113" i="11"/>
  <c r="BD114" i="11"/>
  <c r="BD115" i="11"/>
  <c r="BD116" i="11"/>
  <c r="BD11" i="11"/>
  <c r="N9" i="14"/>
  <c r="BE50" i="11"/>
  <c r="BE51" i="11"/>
  <c r="BE52" i="11"/>
  <c r="BE53" i="11"/>
  <c r="BE54" i="11"/>
  <c r="BE55" i="11"/>
  <c r="BE56" i="11"/>
  <c r="BE57" i="11"/>
  <c r="BE58" i="11"/>
  <c r="BE59" i="11"/>
  <c r="BE60" i="11"/>
  <c r="BE61" i="11"/>
  <c r="BE62" i="11"/>
  <c r="BE63" i="11"/>
  <c r="BE64" i="11"/>
  <c r="BE65" i="11"/>
  <c r="BE66" i="11"/>
  <c r="BE67" i="11"/>
  <c r="BE68" i="11"/>
  <c r="BE69" i="11"/>
  <c r="BE70" i="11"/>
  <c r="BE71" i="11"/>
  <c r="BE72" i="11"/>
  <c r="BE73" i="11"/>
  <c r="BE74" i="11"/>
  <c r="BE75" i="11"/>
  <c r="BE76" i="11"/>
  <c r="BE77" i="11"/>
  <c r="BE78" i="11"/>
  <c r="BE79" i="11"/>
  <c r="BE80" i="11"/>
  <c r="BE81" i="11"/>
  <c r="BE82" i="11"/>
  <c r="BE83" i="11"/>
  <c r="BE84" i="11"/>
  <c r="BE85" i="11"/>
  <c r="BE86" i="11"/>
  <c r="BE87" i="11"/>
  <c r="BE88" i="11"/>
  <c r="BE89" i="11"/>
  <c r="BE90" i="11"/>
  <c r="BE91" i="11"/>
  <c r="BE92" i="11"/>
  <c r="BE93" i="11"/>
  <c r="BE94" i="11"/>
  <c r="BE95" i="11"/>
  <c r="BE96" i="11"/>
  <c r="BE97" i="11"/>
  <c r="BE98" i="11"/>
  <c r="BE99" i="11"/>
  <c r="BE100" i="11"/>
  <c r="BE101" i="11"/>
  <c r="BE102" i="11"/>
  <c r="BE103" i="11"/>
  <c r="BE104" i="11"/>
  <c r="BE105" i="11"/>
  <c r="BE106" i="11"/>
  <c r="BE107" i="11"/>
  <c r="BE108" i="11"/>
  <c r="BE109" i="11"/>
  <c r="BE110" i="11"/>
  <c r="BE111" i="11"/>
  <c r="BE112" i="11"/>
  <c r="BE113" i="11"/>
  <c r="BE114" i="11"/>
  <c r="BE115" i="11"/>
  <c r="BE116" i="11"/>
  <c r="BE11" i="11"/>
  <c r="O9" i="14"/>
  <c r="BC9" i="11"/>
  <c r="M7" i="14"/>
  <c r="BD9" i="11"/>
  <c r="N7" i="14"/>
  <c r="BE9" i="11"/>
  <c r="O7" i="14"/>
  <c r="BB9" i="11"/>
  <c r="L7" i="14"/>
  <c r="BA9" i="11"/>
  <c r="BA10" i="11"/>
  <c r="BA11" i="11"/>
  <c r="J9" i="11"/>
  <c r="E7" i="14"/>
  <c r="K9" i="11"/>
  <c r="F7" i="14"/>
  <c r="L9" i="11"/>
  <c r="G7" i="14"/>
  <c r="M9" i="11"/>
  <c r="H7" i="14"/>
  <c r="N9" i="11"/>
  <c r="I7" i="14"/>
  <c r="X20" i="11"/>
  <c r="AA20" i="11"/>
  <c r="AB20" i="11"/>
  <c r="AD17" i="11"/>
  <c r="AD20" i="11"/>
  <c r="AE20" i="11"/>
  <c r="AI17" i="11"/>
  <c r="AH17" i="11"/>
  <c r="AJ17" i="11"/>
  <c r="AG17" i="11"/>
  <c r="AG20" i="11"/>
  <c r="AI20" i="11"/>
  <c r="AL20" i="11"/>
  <c r="AN20" i="11"/>
  <c r="AR20" i="11"/>
  <c r="X21" i="11"/>
  <c r="AA21" i="11"/>
  <c r="AB21" i="11"/>
  <c r="AD21" i="11"/>
  <c r="AE21" i="11"/>
  <c r="AG21" i="11"/>
  <c r="AI21" i="11"/>
  <c r="AL21" i="11"/>
  <c r="AN21" i="11"/>
  <c r="AR21" i="11"/>
  <c r="X22" i="11"/>
  <c r="AA22" i="11"/>
  <c r="AB22" i="11"/>
  <c r="AD22" i="11"/>
  <c r="AE22" i="11"/>
  <c r="AG22" i="11"/>
  <c r="AI22" i="11"/>
  <c r="AL22" i="11"/>
  <c r="AN22" i="11"/>
  <c r="AR22" i="11"/>
  <c r="X23" i="11"/>
  <c r="AA23" i="11"/>
  <c r="AB23" i="11"/>
  <c r="AD23" i="11"/>
  <c r="AE23" i="11"/>
  <c r="AG23" i="11"/>
  <c r="AI23" i="11"/>
  <c r="AL23" i="11"/>
  <c r="AN23" i="11"/>
  <c r="AR23" i="11"/>
  <c r="X24" i="11"/>
  <c r="AA24" i="11"/>
  <c r="AB24" i="11"/>
  <c r="AD24" i="11"/>
  <c r="AE24" i="11"/>
  <c r="AG24" i="11"/>
  <c r="AI24" i="11"/>
  <c r="AL24" i="11"/>
  <c r="AN24" i="11"/>
  <c r="AR24" i="11"/>
  <c r="X25" i="11"/>
  <c r="AA25" i="11"/>
  <c r="AB25" i="11"/>
  <c r="AD25" i="11"/>
  <c r="AE25" i="11"/>
  <c r="AG25" i="11"/>
  <c r="AI25" i="11"/>
  <c r="AL25" i="11"/>
  <c r="AN25" i="11"/>
  <c r="AR25" i="11"/>
  <c r="X26" i="11"/>
  <c r="AA26" i="11"/>
  <c r="AB26" i="11"/>
  <c r="AD26" i="11"/>
  <c r="AE26" i="11"/>
  <c r="AG26" i="11"/>
  <c r="AI26" i="11"/>
  <c r="AL26" i="11"/>
  <c r="AN26" i="11"/>
  <c r="AR26" i="11"/>
  <c r="X27" i="11"/>
  <c r="AA27" i="11"/>
  <c r="AB27" i="11"/>
  <c r="AD27" i="11"/>
  <c r="AE27" i="11"/>
  <c r="AG27" i="11"/>
  <c r="AI27" i="11"/>
  <c r="AL27" i="11"/>
  <c r="AN27" i="11"/>
  <c r="AR27" i="11"/>
  <c r="X28" i="11"/>
  <c r="AA28" i="11"/>
  <c r="AB28" i="11"/>
  <c r="AD28" i="11"/>
  <c r="AE28" i="11"/>
  <c r="AG28" i="11"/>
  <c r="AI28" i="11"/>
  <c r="AL28" i="11"/>
  <c r="AN28" i="11"/>
  <c r="AR28" i="11"/>
  <c r="X29" i="11"/>
  <c r="AA29" i="11"/>
  <c r="AB29" i="11"/>
  <c r="AD29" i="11"/>
  <c r="AE29" i="11"/>
  <c r="AG29" i="11"/>
  <c r="AI29" i="11"/>
  <c r="AL29" i="11"/>
  <c r="AN29" i="11"/>
  <c r="AR29" i="11"/>
  <c r="X30" i="11"/>
  <c r="AA30" i="11"/>
  <c r="AB30" i="11"/>
  <c r="AD30" i="11"/>
  <c r="AE30" i="11"/>
  <c r="AG30" i="11"/>
  <c r="AI30" i="11"/>
  <c r="AL30" i="11"/>
  <c r="AN30" i="11"/>
  <c r="AR30" i="11"/>
  <c r="X31" i="11"/>
  <c r="AA31" i="11"/>
  <c r="AB31" i="11"/>
  <c r="AD31" i="11"/>
  <c r="AE31" i="11"/>
  <c r="AG31" i="11"/>
  <c r="AI31" i="11"/>
  <c r="AL31" i="11"/>
  <c r="AN31" i="11"/>
  <c r="AR31" i="11"/>
  <c r="X32" i="11"/>
  <c r="AA32" i="11"/>
  <c r="AB32" i="11"/>
  <c r="AD32" i="11"/>
  <c r="AE32" i="11"/>
  <c r="AG32" i="11"/>
  <c r="AI32" i="11"/>
  <c r="AL32" i="11"/>
  <c r="AN32" i="11"/>
  <c r="AR32" i="11"/>
  <c r="X33" i="11"/>
  <c r="AA33" i="11"/>
  <c r="AB33" i="11"/>
  <c r="AD33" i="11"/>
  <c r="AE33" i="11"/>
  <c r="AG33" i="11"/>
  <c r="AI33" i="11"/>
  <c r="AL33" i="11"/>
  <c r="AN33" i="11"/>
  <c r="AR33" i="11"/>
  <c r="X34" i="11"/>
  <c r="AA34" i="11"/>
  <c r="AB34" i="11"/>
  <c r="AD34" i="11"/>
  <c r="AE34" i="11"/>
  <c r="AG34" i="11"/>
  <c r="AI34" i="11"/>
  <c r="AL34" i="11"/>
  <c r="AN34" i="11"/>
  <c r="AR34" i="11"/>
  <c r="O9" i="11"/>
  <c r="J7" i="14"/>
  <c r="AY20" i="11"/>
  <c r="AY21" i="11"/>
  <c r="AY22" i="11"/>
  <c r="AY23" i="11"/>
  <c r="AY24" i="11"/>
  <c r="AY25" i="11"/>
  <c r="AY26" i="11"/>
  <c r="AY27" i="11"/>
  <c r="AY28" i="11"/>
  <c r="AY29" i="11"/>
  <c r="AY30" i="11"/>
  <c r="AY31" i="11"/>
  <c r="AY32" i="11"/>
  <c r="AY33" i="11"/>
  <c r="AY34" i="11"/>
  <c r="P9" i="11"/>
  <c r="K7" i="14"/>
  <c r="J10" i="11"/>
  <c r="E8" i="14"/>
  <c r="K10" i="11"/>
  <c r="F8" i="14"/>
  <c r="L10" i="11"/>
  <c r="G8" i="14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M10" i="11"/>
  <c r="H8" i="14"/>
  <c r="N10" i="11"/>
  <c r="I8" i="14"/>
  <c r="X35" i="11"/>
  <c r="AA35" i="11"/>
  <c r="AB35" i="11"/>
  <c r="AD35" i="11"/>
  <c r="AE35" i="11"/>
  <c r="AG35" i="11"/>
  <c r="AI35" i="11"/>
  <c r="AL35" i="11"/>
  <c r="AN35" i="11"/>
  <c r="AR35" i="11"/>
  <c r="X36" i="11"/>
  <c r="AA36" i="11"/>
  <c r="AB36" i="11"/>
  <c r="AD36" i="11"/>
  <c r="AE36" i="11"/>
  <c r="AG36" i="11"/>
  <c r="AI36" i="11"/>
  <c r="AL36" i="11"/>
  <c r="AN36" i="11"/>
  <c r="AR36" i="11"/>
  <c r="X37" i="11"/>
  <c r="AA37" i="11"/>
  <c r="AB37" i="11"/>
  <c r="AD37" i="11"/>
  <c r="AE37" i="11"/>
  <c r="AG37" i="11"/>
  <c r="AI37" i="11"/>
  <c r="AL37" i="11"/>
  <c r="AN37" i="11"/>
  <c r="AR37" i="11"/>
  <c r="X38" i="11"/>
  <c r="AA38" i="11"/>
  <c r="AB38" i="11"/>
  <c r="AD38" i="11"/>
  <c r="AE38" i="11"/>
  <c r="AG38" i="11"/>
  <c r="AI38" i="11"/>
  <c r="AL38" i="11"/>
  <c r="AN38" i="11"/>
  <c r="AR38" i="11"/>
  <c r="X39" i="11"/>
  <c r="AA39" i="11"/>
  <c r="AB39" i="11"/>
  <c r="AD39" i="11"/>
  <c r="AE39" i="11"/>
  <c r="AG39" i="11"/>
  <c r="AI39" i="11"/>
  <c r="AL39" i="11"/>
  <c r="AN39" i="11"/>
  <c r="AR39" i="11"/>
  <c r="X40" i="11"/>
  <c r="AA40" i="11"/>
  <c r="AB40" i="11"/>
  <c r="AD40" i="11"/>
  <c r="AE40" i="11"/>
  <c r="AG40" i="11"/>
  <c r="AI40" i="11"/>
  <c r="AL40" i="11"/>
  <c r="AN40" i="11"/>
  <c r="AR40" i="11"/>
  <c r="X41" i="11"/>
  <c r="AA41" i="11"/>
  <c r="AB41" i="11"/>
  <c r="AD41" i="11"/>
  <c r="AE41" i="11"/>
  <c r="AG41" i="11"/>
  <c r="AI41" i="11"/>
  <c r="AL41" i="11"/>
  <c r="AN41" i="11"/>
  <c r="AR41" i="11"/>
  <c r="X42" i="11"/>
  <c r="AA42" i="11"/>
  <c r="AB42" i="11"/>
  <c r="AD42" i="11"/>
  <c r="AE42" i="11"/>
  <c r="AG42" i="11"/>
  <c r="AI42" i="11"/>
  <c r="AL42" i="11"/>
  <c r="AN42" i="11"/>
  <c r="AR42" i="11"/>
  <c r="X43" i="11"/>
  <c r="AA43" i="11"/>
  <c r="AB43" i="11"/>
  <c r="AD43" i="11"/>
  <c r="AE43" i="11"/>
  <c r="AG43" i="11"/>
  <c r="AI43" i="11"/>
  <c r="AL43" i="11"/>
  <c r="AN43" i="11"/>
  <c r="AR43" i="11"/>
  <c r="X44" i="11"/>
  <c r="AA44" i="11"/>
  <c r="AB44" i="11"/>
  <c r="AD44" i="11"/>
  <c r="AE44" i="11"/>
  <c r="AG44" i="11"/>
  <c r="AI44" i="11"/>
  <c r="AL44" i="11"/>
  <c r="AN44" i="11"/>
  <c r="AR44" i="11"/>
  <c r="X45" i="11"/>
  <c r="AA45" i="11"/>
  <c r="AB45" i="11"/>
  <c r="AD45" i="11"/>
  <c r="AE45" i="11"/>
  <c r="AG45" i="11"/>
  <c r="AI45" i="11"/>
  <c r="AL45" i="11"/>
  <c r="AN45" i="11"/>
  <c r="AR45" i="11"/>
  <c r="X46" i="11"/>
  <c r="AA46" i="11"/>
  <c r="AB46" i="11"/>
  <c r="AD46" i="11"/>
  <c r="AE46" i="11"/>
  <c r="AG46" i="11"/>
  <c r="AI46" i="11"/>
  <c r="AL46" i="11"/>
  <c r="AN46" i="11"/>
  <c r="AR46" i="11"/>
  <c r="X47" i="11"/>
  <c r="AA47" i="11"/>
  <c r="AB47" i="11"/>
  <c r="AD47" i="11"/>
  <c r="AE47" i="11"/>
  <c r="AG47" i="11"/>
  <c r="AI47" i="11"/>
  <c r="AL47" i="11"/>
  <c r="AN47" i="11"/>
  <c r="AR47" i="11"/>
  <c r="X48" i="11"/>
  <c r="AA48" i="11"/>
  <c r="AB48" i="11"/>
  <c r="AD48" i="11"/>
  <c r="AE48" i="11"/>
  <c r="AG48" i="11"/>
  <c r="AI48" i="11"/>
  <c r="AL48" i="11"/>
  <c r="AN48" i="11"/>
  <c r="AR48" i="11"/>
  <c r="X49" i="11"/>
  <c r="AA49" i="11"/>
  <c r="AB49" i="11"/>
  <c r="AD49" i="11"/>
  <c r="AE49" i="11"/>
  <c r="AG49" i="11"/>
  <c r="AI49" i="11"/>
  <c r="AL49" i="11"/>
  <c r="AN49" i="11"/>
  <c r="AR49" i="11"/>
  <c r="O10" i="11"/>
  <c r="J8" i="14"/>
  <c r="AY35" i="11"/>
  <c r="AY36" i="11"/>
  <c r="AY37" i="11"/>
  <c r="AY38" i="11"/>
  <c r="AY39" i="11"/>
  <c r="AY40" i="11"/>
  <c r="AY41" i="11"/>
  <c r="AY42" i="11"/>
  <c r="AY43" i="11"/>
  <c r="AY44" i="11"/>
  <c r="AY45" i="11"/>
  <c r="AY46" i="11"/>
  <c r="AY47" i="11"/>
  <c r="AY48" i="11"/>
  <c r="AY49" i="11"/>
  <c r="P10" i="11"/>
  <c r="K8" i="14"/>
  <c r="J11" i="11"/>
  <c r="E9" i="14"/>
  <c r="K11" i="11"/>
  <c r="F9" i="14"/>
  <c r="L11" i="11"/>
  <c r="G9" i="14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M11" i="11"/>
  <c r="H9" i="14"/>
  <c r="N11" i="11"/>
  <c r="I9" i="14"/>
  <c r="X50" i="11"/>
  <c r="AA50" i="11"/>
  <c r="AB50" i="11"/>
  <c r="AD50" i="11"/>
  <c r="AE50" i="11"/>
  <c r="AG50" i="11"/>
  <c r="AI50" i="11"/>
  <c r="AL50" i="11"/>
  <c r="AN50" i="11"/>
  <c r="AR50" i="11"/>
  <c r="X51" i="11"/>
  <c r="AA51" i="11"/>
  <c r="AB51" i="11"/>
  <c r="AD51" i="11"/>
  <c r="AE51" i="11"/>
  <c r="AG51" i="11"/>
  <c r="AI51" i="11"/>
  <c r="AL51" i="11"/>
  <c r="AN51" i="11"/>
  <c r="AR51" i="11"/>
  <c r="X52" i="11"/>
  <c r="AA52" i="11"/>
  <c r="AB52" i="11"/>
  <c r="AD52" i="11"/>
  <c r="AE52" i="11"/>
  <c r="AG52" i="11"/>
  <c r="AI52" i="11"/>
  <c r="AL52" i="11"/>
  <c r="AN52" i="11"/>
  <c r="AR52" i="11"/>
  <c r="X53" i="11"/>
  <c r="AA53" i="11"/>
  <c r="AB53" i="11"/>
  <c r="AD53" i="11"/>
  <c r="AE53" i="11"/>
  <c r="AG53" i="11"/>
  <c r="AI53" i="11"/>
  <c r="AL53" i="11"/>
  <c r="AN53" i="11"/>
  <c r="AR53" i="11"/>
  <c r="X54" i="11"/>
  <c r="AA54" i="11"/>
  <c r="AB54" i="11"/>
  <c r="AD54" i="11"/>
  <c r="AE54" i="11"/>
  <c r="AG54" i="11"/>
  <c r="AI54" i="11"/>
  <c r="AL54" i="11"/>
  <c r="AN54" i="11"/>
  <c r="AR54" i="11"/>
  <c r="X55" i="11"/>
  <c r="AA55" i="11"/>
  <c r="AB55" i="11"/>
  <c r="AD55" i="11"/>
  <c r="AE55" i="11"/>
  <c r="AG55" i="11"/>
  <c r="AI55" i="11"/>
  <c r="AL55" i="11"/>
  <c r="AN55" i="11"/>
  <c r="AR55" i="11"/>
  <c r="X56" i="11"/>
  <c r="AA56" i="11"/>
  <c r="AB56" i="11"/>
  <c r="AD56" i="11"/>
  <c r="AE56" i="11"/>
  <c r="AG56" i="11"/>
  <c r="AI56" i="11"/>
  <c r="AL56" i="11"/>
  <c r="AN56" i="11"/>
  <c r="AR56" i="11"/>
  <c r="X57" i="11"/>
  <c r="AA57" i="11"/>
  <c r="AB57" i="11"/>
  <c r="AD57" i="11"/>
  <c r="AE57" i="11"/>
  <c r="AG57" i="11"/>
  <c r="AI57" i="11"/>
  <c r="AL57" i="11"/>
  <c r="AN57" i="11"/>
  <c r="AR57" i="11"/>
  <c r="X58" i="11"/>
  <c r="AA58" i="11"/>
  <c r="AB58" i="11"/>
  <c r="AD58" i="11"/>
  <c r="AE58" i="11"/>
  <c r="AG58" i="11"/>
  <c r="AI58" i="11"/>
  <c r="AL58" i="11"/>
  <c r="AN58" i="11"/>
  <c r="AR58" i="11"/>
  <c r="X59" i="11"/>
  <c r="AA59" i="11"/>
  <c r="AB59" i="11"/>
  <c r="AD59" i="11"/>
  <c r="AE59" i="11"/>
  <c r="AG59" i="11"/>
  <c r="AI59" i="11"/>
  <c r="AL59" i="11"/>
  <c r="AN59" i="11"/>
  <c r="AR59" i="11"/>
  <c r="X60" i="11"/>
  <c r="AA60" i="11"/>
  <c r="AB60" i="11"/>
  <c r="AD60" i="11"/>
  <c r="AE60" i="11"/>
  <c r="AG60" i="11"/>
  <c r="AI60" i="11"/>
  <c r="AL60" i="11"/>
  <c r="AN60" i="11"/>
  <c r="AR60" i="11"/>
  <c r="X61" i="11"/>
  <c r="AA61" i="11"/>
  <c r="AB61" i="11"/>
  <c r="AD61" i="11"/>
  <c r="AE61" i="11"/>
  <c r="AG61" i="11"/>
  <c r="AI61" i="11"/>
  <c r="AL61" i="11"/>
  <c r="AN61" i="11"/>
  <c r="AR61" i="11"/>
  <c r="X62" i="11"/>
  <c r="AA62" i="11"/>
  <c r="AB62" i="11"/>
  <c r="AD62" i="11"/>
  <c r="AE62" i="11"/>
  <c r="AG62" i="11"/>
  <c r="AI62" i="11"/>
  <c r="AL62" i="11"/>
  <c r="AN62" i="11"/>
  <c r="AR62" i="11"/>
  <c r="X63" i="11"/>
  <c r="AA63" i="11"/>
  <c r="AB63" i="11"/>
  <c r="AD63" i="11"/>
  <c r="AE63" i="11"/>
  <c r="AG63" i="11"/>
  <c r="AI63" i="11"/>
  <c r="AL63" i="11"/>
  <c r="AN63" i="11"/>
  <c r="AR63" i="11"/>
  <c r="X64" i="11"/>
  <c r="AA64" i="11"/>
  <c r="AB64" i="11"/>
  <c r="AD64" i="11"/>
  <c r="AE64" i="11"/>
  <c r="AG64" i="11"/>
  <c r="AI64" i="11"/>
  <c r="AL64" i="11"/>
  <c r="AN64" i="11"/>
  <c r="AR64" i="11"/>
  <c r="X65" i="11"/>
  <c r="AA65" i="11"/>
  <c r="AB65" i="11"/>
  <c r="AD65" i="11"/>
  <c r="AE65" i="11"/>
  <c r="AG65" i="11"/>
  <c r="AI65" i="11"/>
  <c r="AL65" i="11"/>
  <c r="AN65" i="11"/>
  <c r="AR65" i="11"/>
  <c r="X66" i="11"/>
  <c r="AA66" i="11"/>
  <c r="AB66" i="11"/>
  <c r="AD66" i="11"/>
  <c r="AE66" i="11"/>
  <c r="AG66" i="11"/>
  <c r="AI66" i="11"/>
  <c r="AL66" i="11"/>
  <c r="AN66" i="11"/>
  <c r="AR66" i="11"/>
  <c r="X67" i="11"/>
  <c r="AA67" i="11"/>
  <c r="AB67" i="11"/>
  <c r="AD67" i="11"/>
  <c r="AE67" i="11"/>
  <c r="AG67" i="11"/>
  <c r="AI67" i="11"/>
  <c r="AL67" i="11"/>
  <c r="AN67" i="11"/>
  <c r="AR67" i="11"/>
  <c r="X68" i="11"/>
  <c r="AA68" i="11"/>
  <c r="AB68" i="11"/>
  <c r="AD68" i="11"/>
  <c r="AE68" i="11"/>
  <c r="AG68" i="11"/>
  <c r="AI68" i="11"/>
  <c r="AL68" i="11"/>
  <c r="AN68" i="11"/>
  <c r="AR68" i="11"/>
  <c r="X69" i="11"/>
  <c r="AA69" i="11"/>
  <c r="AB69" i="11"/>
  <c r="AD69" i="11"/>
  <c r="AE69" i="11"/>
  <c r="AG69" i="11"/>
  <c r="AI69" i="11"/>
  <c r="AL69" i="11"/>
  <c r="AN69" i="11"/>
  <c r="AR69" i="11"/>
  <c r="X70" i="11"/>
  <c r="AA70" i="11"/>
  <c r="AB70" i="11"/>
  <c r="AD70" i="11"/>
  <c r="AE70" i="11"/>
  <c r="AG70" i="11"/>
  <c r="AI70" i="11"/>
  <c r="AL70" i="11"/>
  <c r="AN70" i="11"/>
  <c r="AR70" i="11"/>
  <c r="X71" i="11"/>
  <c r="AA71" i="11"/>
  <c r="AB71" i="11"/>
  <c r="AD71" i="11"/>
  <c r="AE71" i="11"/>
  <c r="AG71" i="11"/>
  <c r="AI71" i="11"/>
  <c r="AL71" i="11"/>
  <c r="AN71" i="11"/>
  <c r="AR71" i="11"/>
  <c r="X72" i="11"/>
  <c r="AA72" i="11"/>
  <c r="AB72" i="11"/>
  <c r="AD72" i="11"/>
  <c r="AE72" i="11"/>
  <c r="AG72" i="11"/>
  <c r="AI72" i="11"/>
  <c r="AL72" i="11"/>
  <c r="AN72" i="11"/>
  <c r="AR72" i="11"/>
  <c r="X73" i="11"/>
  <c r="AA73" i="11"/>
  <c r="AB73" i="11"/>
  <c r="AD73" i="11"/>
  <c r="AE73" i="11"/>
  <c r="AG73" i="11"/>
  <c r="AI73" i="11"/>
  <c r="AL73" i="11"/>
  <c r="AN73" i="11"/>
  <c r="AR73" i="11"/>
  <c r="X74" i="11"/>
  <c r="AA74" i="11"/>
  <c r="AB74" i="11"/>
  <c r="AD74" i="11"/>
  <c r="AE74" i="11"/>
  <c r="AG74" i="11"/>
  <c r="AI74" i="11"/>
  <c r="AL74" i="11"/>
  <c r="AN74" i="11"/>
  <c r="AR74" i="11"/>
  <c r="X75" i="11"/>
  <c r="AA75" i="11"/>
  <c r="AB75" i="11"/>
  <c r="AD75" i="11"/>
  <c r="AE75" i="11"/>
  <c r="AG75" i="11"/>
  <c r="AI75" i="11"/>
  <c r="AL75" i="11"/>
  <c r="AN75" i="11"/>
  <c r="AR75" i="11"/>
  <c r="X76" i="11"/>
  <c r="AA76" i="11"/>
  <c r="AB76" i="11"/>
  <c r="AD76" i="11"/>
  <c r="AE76" i="11"/>
  <c r="AG76" i="11"/>
  <c r="AI76" i="11"/>
  <c r="AL76" i="11"/>
  <c r="AN76" i="11"/>
  <c r="AR76" i="11"/>
  <c r="X77" i="11"/>
  <c r="AA77" i="11"/>
  <c r="AB77" i="11"/>
  <c r="AD77" i="11"/>
  <c r="AE77" i="11"/>
  <c r="AG77" i="11"/>
  <c r="AI77" i="11"/>
  <c r="AL77" i="11"/>
  <c r="AN77" i="11"/>
  <c r="AR77" i="11"/>
  <c r="X78" i="11"/>
  <c r="AA78" i="11"/>
  <c r="AB78" i="11"/>
  <c r="AD78" i="11"/>
  <c r="AE78" i="11"/>
  <c r="AG78" i="11"/>
  <c r="AI78" i="11"/>
  <c r="AL78" i="11"/>
  <c r="AN78" i="11"/>
  <c r="AR78" i="11"/>
  <c r="X79" i="11"/>
  <c r="AA79" i="11"/>
  <c r="AB79" i="11"/>
  <c r="AD79" i="11"/>
  <c r="AE79" i="11"/>
  <c r="AG79" i="11"/>
  <c r="AI79" i="11"/>
  <c r="AL79" i="11"/>
  <c r="AN79" i="11"/>
  <c r="AR79" i="11"/>
  <c r="X80" i="11"/>
  <c r="AA80" i="11"/>
  <c r="AB80" i="11"/>
  <c r="AD80" i="11"/>
  <c r="AE80" i="11"/>
  <c r="AG80" i="11"/>
  <c r="AI80" i="11"/>
  <c r="AL80" i="11"/>
  <c r="AN80" i="11"/>
  <c r="AR80" i="11"/>
  <c r="X81" i="11"/>
  <c r="AA81" i="11"/>
  <c r="AB81" i="11"/>
  <c r="AD81" i="11"/>
  <c r="AE81" i="11"/>
  <c r="AG81" i="11"/>
  <c r="AI81" i="11"/>
  <c r="AL81" i="11"/>
  <c r="AN81" i="11"/>
  <c r="AR81" i="11"/>
  <c r="X82" i="11"/>
  <c r="AA82" i="11"/>
  <c r="AB82" i="11"/>
  <c r="AD82" i="11"/>
  <c r="AE82" i="11"/>
  <c r="AG82" i="11"/>
  <c r="AI82" i="11"/>
  <c r="AL82" i="11"/>
  <c r="AN82" i="11"/>
  <c r="AR82" i="11"/>
  <c r="X83" i="11"/>
  <c r="AA83" i="11"/>
  <c r="AB83" i="11"/>
  <c r="AD83" i="11"/>
  <c r="AE83" i="11"/>
  <c r="AG83" i="11"/>
  <c r="AI83" i="11"/>
  <c r="AL83" i="11"/>
  <c r="AN83" i="11"/>
  <c r="AR83" i="11"/>
  <c r="X84" i="11"/>
  <c r="AA84" i="11"/>
  <c r="AB84" i="11"/>
  <c r="AD84" i="11"/>
  <c r="AE84" i="11"/>
  <c r="AG84" i="11"/>
  <c r="AI84" i="11"/>
  <c r="AL84" i="11"/>
  <c r="AN84" i="11"/>
  <c r="AR84" i="11"/>
  <c r="X85" i="11"/>
  <c r="AA85" i="11"/>
  <c r="AB85" i="11"/>
  <c r="AD85" i="11"/>
  <c r="AE85" i="11"/>
  <c r="AG85" i="11"/>
  <c r="AI85" i="11"/>
  <c r="AL85" i="11"/>
  <c r="AN85" i="11"/>
  <c r="AR85" i="11"/>
  <c r="X86" i="11"/>
  <c r="AA86" i="11"/>
  <c r="AB86" i="11"/>
  <c r="AD86" i="11"/>
  <c r="AE86" i="11"/>
  <c r="AG86" i="11"/>
  <c r="AI86" i="11"/>
  <c r="AL86" i="11"/>
  <c r="AN86" i="11"/>
  <c r="AR86" i="11"/>
  <c r="X87" i="11"/>
  <c r="AA87" i="11"/>
  <c r="AB87" i="11"/>
  <c r="AD87" i="11"/>
  <c r="AE87" i="11"/>
  <c r="AG87" i="11"/>
  <c r="AI87" i="11"/>
  <c r="AL87" i="11"/>
  <c r="AN87" i="11"/>
  <c r="AR87" i="11"/>
  <c r="X88" i="11"/>
  <c r="AA88" i="11"/>
  <c r="AB88" i="11"/>
  <c r="AD88" i="11"/>
  <c r="AE88" i="11"/>
  <c r="AG88" i="11"/>
  <c r="AI88" i="11"/>
  <c r="AL88" i="11"/>
  <c r="AN88" i="11"/>
  <c r="AR88" i="11"/>
  <c r="X89" i="11"/>
  <c r="AA89" i="11"/>
  <c r="AB89" i="11"/>
  <c r="AD89" i="11"/>
  <c r="AE89" i="11"/>
  <c r="AG89" i="11"/>
  <c r="AI89" i="11"/>
  <c r="AL89" i="11"/>
  <c r="AN89" i="11"/>
  <c r="AR89" i="11"/>
  <c r="X90" i="11"/>
  <c r="AA90" i="11"/>
  <c r="AB90" i="11"/>
  <c r="AD90" i="11"/>
  <c r="AE90" i="11"/>
  <c r="AG90" i="11"/>
  <c r="AI90" i="11"/>
  <c r="AL90" i="11"/>
  <c r="AN90" i="11"/>
  <c r="AR90" i="11"/>
  <c r="X91" i="11"/>
  <c r="AA91" i="11"/>
  <c r="AB91" i="11"/>
  <c r="AD91" i="11"/>
  <c r="AE91" i="11"/>
  <c r="AG91" i="11"/>
  <c r="AI91" i="11"/>
  <c r="AL91" i="11"/>
  <c r="AN91" i="11"/>
  <c r="AR91" i="11"/>
  <c r="X92" i="11"/>
  <c r="AA92" i="11"/>
  <c r="AB92" i="11"/>
  <c r="AD92" i="11"/>
  <c r="AE92" i="11"/>
  <c r="AG92" i="11"/>
  <c r="AI92" i="11"/>
  <c r="AL92" i="11"/>
  <c r="AN92" i="11"/>
  <c r="AR92" i="11"/>
  <c r="X93" i="11"/>
  <c r="AA93" i="11"/>
  <c r="AB93" i="11"/>
  <c r="AD93" i="11"/>
  <c r="AE93" i="11"/>
  <c r="AG93" i="11"/>
  <c r="AI93" i="11"/>
  <c r="AL93" i="11"/>
  <c r="AN93" i="11"/>
  <c r="AR93" i="11"/>
  <c r="X94" i="11"/>
  <c r="AA94" i="11"/>
  <c r="AB94" i="11"/>
  <c r="AD94" i="11"/>
  <c r="AE94" i="11"/>
  <c r="AG94" i="11"/>
  <c r="AI94" i="11"/>
  <c r="AL94" i="11"/>
  <c r="AN94" i="11"/>
  <c r="AR94" i="11"/>
  <c r="X95" i="11"/>
  <c r="AA95" i="11"/>
  <c r="AB95" i="11"/>
  <c r="AD95" i="11"/>
  <c r="AE95" i="11"/>
  <c r="AG95" i="11"/>
  <c r="AI95" i="11"/>
  <c r="AL95" i="11"/>
  <c r="AN95" i="11"/>
  <c r="AR95" i="11"/>
  <c r="X96" i="11"/>
  <c r="AA96" i="11"/>
  <c r="AB96" i="11"/>
  <c r="AD96" i="11"/>
  <c r="AE96" i="11"/>
  <c r="AG96" i="11"/>
  <c r="AI96" i="11"/>
  <c r="AL96" i="11"/>
  <c r="AN96" i="11"/>
  <c r="AR96" i="11"/>
  <c r="X97" i="11"/>
  <c r="AA97" i="11"/>
  <c r="AB97" i="11"/>
  <c r="AD97" i="11"/>
  <c r="AE97" i="11"/>
  <c r="AG97" i="11"/>
  <c r="AI97" i="11"/>
  <c r="AL97" i="11"/>
  <c r="AN97" i="11"/>
  <c r="AR97" i="11"/>
  <c r="X98" i="11"/>
  <c r="AA98" i="11"/>
  <c r="AB98" i="11"/>
  <c r="AD98" i="11"/>
  <c r="AE98" i="11"/>
  <c r="AG98" i="11"/>
  <c r="AI98" i="11"/>
  <c r="AL98" i="11"/>
  <c r="AN98" i="11"/>
  <c r="AR98" i="11"/>
  <c r="X99" i="11"/>
  <c r="AA99" i="11"/>
  <c r="AB99" i="11"/>
  <c r="AD99" i="11"/>
  <c r="AE99" i="11"/>
  <c r="AG99" i="11"/>
  <c r="AI99" i="11"/>
  <c r="AL99" i="11"/>
  <c r="AN99" i="11"/>
  <c r="AR99" i="11"/>
  <c r="X100" i="11"/>
  <c r="AA100" i="11"/>
  <c r="AB100" i="11"/>
  <c r="AD100" i="11"/>
  <c r="AE100" i="11"/>
  <c r="AG100" i="11"/>
  <c r="AI100" i="11"/>
  <c r="AL100" i="11"/>
  <c r="AN100" i="11"/>
  <c r="AR100" i="11"/>
  <c r="X101" i="11"/>
  <c r="AA101" i="11"/>
  <c r="AB101" i="11"/>
  <c r="AD101" i="11"/>
  <c r="AE101" i="11"/>
  <c r="AG101" i="11"/>
  <c r="AI101" i="11"/>
  <c r="AL101" i="11"/>
  <c r="AN101" i="11"/>
  <c r="AR101" i="11"/>
  <c r="X102" i="11"/>
  <c r="AA102" i="11"/>
  <c r="AB102" i="11"/>
  <c r="AD102" i="11"/>
  <c r="AE102" i="11"/>
  <c r="AG102" i="11"/>
  <c r="AI102" i="11"/>
  <c r="AL102" i="11"/>
  <c r="AN102" i="11"/>
  <c r="AR102" i="11"/>
  <c r="X103" i="11"/>
  <c r="AA103" i="11"/>
  <c r="AB103" i="11"/>
  <c r="AD103" i="11"/>
  <c r="AE103" i="11"/>
  <c r="AG103" i="11"/>
  <c r="AI103" i="11"/>
  <c r="AL103" i="11"/>
  <c r="AN103" i="11"/>
  <c r="AR103" i="11"/>
  <c r="X104" i="11"/>
  <c r="AA104" i="11"/>
  <c r="AB104" i="11"/>
  <c r="AD104" i="11"/>
  <c r="AE104" i="11"/>
  <c r="AG104" i="11"/>
  <c r="AI104" i="11"/>
  <c r="AL104" i="11"/>
  <c r="AN104" i="11"/>
  <c r="AR104" i="11"/>
  <c r="X105" i="11"/>
  <c r="AA105" i="11"/>
  <c r="AB105" i="11"/>
  <c r="AD105" i="11"/>
  <c r="AE105" i="11"/>
  <c r="AG105" i="11"/>
  <c r="AI105" i="11"/>
  <c r="AL105" i="11"/>
  <c r="AN105" i="11"/>
  <c r="AR105" i="11"/>
  <c r="X106" i="11"/>
  <c r="AA106" i="11"/>
  <c r="AB106" i="11"/>
  <c r="AD106" i="11"/>
  <c r="AE106" i="11"/>
  <c r="AG106" i="11"/>
  <c r="AI106" i="11"/>
  <c r="AL106" i="11"/>
  <c r="AN106" i="11"/>
  <c r="AR106" i="11"/>
  <c r="X107" i="11"/>
  <c r="AA107" i="11"/>
  <c r="AB107" i="11"/>
  <c r="AD107" i="11"/>
  <c r="AE107" i="11"/>
  <c r="AG107" i="11"/>
  <c r="AI107" i="11"/>
  <c r="AL107" i="11"/>
  <c r="AN107" i="11"/>
  <c r="AR107" i="11"/>
  <c r="X108" i="11"/>
  <c r="AA108" i="11"/>
  <c r="AB108" i="11"/>
  <c r="AD108" i="11"/>
  <c r="AE108" i="11"/>
  <c r="AG108" i="11"/>
  <c r="AI108" i="11"/>
  <c r="AL108" i="11"/>
  <c r="AN108" i="11"/>
  <c r="AR108" i="11"/>
  <c r="X109" i="11"/>
  <c r="AA109" i="11"/>
  <c r="AB109" i="11"/>
  <c r="AD109" i="11"/>
  <c r="AE109" i="11"/>
  <c r="AG109" i="11"/>
  <c r="AI109" i="11"/>
  <c r="AL109" i="11"/>
  <c r="AN109" i="11"/>
  <c r="AR109" i="11"/>
  <c r="X110" i="11"/>
  <c r="AA110" i="11"/>
  <c r="AB110" i="11"/>
  <c r="AD110" i="11"/>
  <c r="AE110" i="11"/>
  <c r="AG110" i="11"/>
  <c r="AI110" i="11"/>
  <c r="AL110" i="11"/>
  <c r="AN110" i="11"/>
  <c r="AR110" i="11"/>
  <c r="X111" i="11"/>
  <c r="AA111" i="11"/>
  <c r="AB111" i="11"/>
  <c r="AD111" i="11"/>
  <c r="AE111" i="11"/>
  <c r="AG111" i="11"/>
  <c r="AI111" i="11"/>
  <c r="AL111" i="11"/>
  <c r="AN111" i="11"/>
  <c r="AR111" i="11"/>
  <c r="X112" i="11"/>
  <c r="AA112" i="11"/>
  <c r="AB112" i="11"/>
  <c r="AD112" i="11"/>
  <c r="AE112" i="11"/>
  <c r="AG112" i="11"/>
  <c r="AI112" i="11"/>
  <c r="AL112" i="11"/>
  <c r="AN112" i="11"/>
  <c r="AR112" i="11"/>
  <c r="X113" i="11"/>
  <c r="AA113" i="11"/>
  <c r="AB113" i="11"/>
  <c r="AD113" i="11"/>
  <c r="AE113" i="11"/>
  <c r="AG113" i="11"/>
  <c r="AI113" i="11"/>
  <c r="AL113" i="11"/>
  <c r="AN113" i="11"/>
  <c r="AR113" i="11"/>
  <c r="X114" i="11"/>
  <c r="AA114" i="11"/>
  <c r="AB114" i="11"/>
  <c r="AD114" i="11"/>
  <c r="AE114" i="11"/>
  <c r="AG114" i="11"/>
  <c r="AI114" i="11"/>
  <c r="AL114" i="11"/>
  <c r="AN114" i="11"/>
  <c r="AR114" i="11"/>
  <c r="X115" i="11"/>
  <c r="AA115" i="11"/>
  <c r="AB115" i="11"/>
  <c r="AD115" i="11"/>
  <c r="AE115" i="11"/>
  <c r="AG115" i="11"/>
  <c r="AI115" i="11"/>
  <c r="AL115" i="11"/>
  <c r="AN115" i="11"/>
  <c r="AR115" i="11"/>
  <c r="X116" i="11"/>
  <c r="AA116" i="11"/>
  <c r="AB116" i="11"/>
  <c r="AD116" i="11"/>
  <c r="AE116" i="11"/>
  <c r="AG116" i="11"/>
  <c r="AI116" i="11"/>
  <c r="AL116" i="11"/>
  <c r="AN116" i="11"/>
  <c r="AR116" i="11"/>
  <c r="O11" i="11"/>
  <c r="J9" i="14"/>
  <c r="AY50" i="11"/>
  <c r="AY51" i="11"/>
  <c r="AY52" i="11"/>
  <c r="AY53" i="11"/>
  <c r="AY54" i="11"/>
  <c r="AY55" i="11"/>
  <c r="AY56" i="11"/>
  <c r="AY57" i="11"/>
  <c r="AY58" i="11"/>
  <c r="AY59" i="11"/>
  <c r="AY60" i="11"/>
  <c r="AY61" i="11"/>
  <c r="AY62" i="11"/>
  <c r="AY63" i="11"/>
  <c r="AY64" i="11"/>
  <c r="AY65" i="11"/>
  <c r="AY66" i="11"/>
  <c r="AY67" i="11"/>
  <c r="AY68" i="11"/>
  <c r="AY69" i="11"/>
  <c r="AY70" i="11"/>
  <c r="AY71" i="11"/>
  <c r="AY72" i="11"/>
  <c r="AY73" i="11"/>
  <c r="AY74" i="11"/>
  <c r="AY75" i="11"/>
  <c r="AY76" i="11"/>
  <c r="AY77" i="11"/>
  <c r="AY78" i="11"/>
  <c r="AY79" i="11"/>
  <c r="AY80" i="11"/>
  <c r="AY81" i="11"/>
  <c r="AY82" i="11"/>
  <c r="AY83" i="11"/>
  <c r="AY84" i="11"/>
  <c r="AY85" i="11"/>
  <c r="AY86" i="11"/>
  <c r="AY87" i="11"/>
  <c r="AY88" i="11"/>
  <c r="AY89" i="11"/>
  <c r="AY90" i="11"/>
  <c r="AY91" i="11"/>
  <c r="AY92" i="11"/>
  <c r="AY93" i="11"/>
  <c r="AY94" i="11"/>
  <c r="AY95" i="11"/>
  <c r="AY96" i="11"/>
  <c r="AY97" i="11"/>
  <c r="AY98" i="11"/>
  <c r="AY99" i="11"/>
  <c r="AY100" i="11"/>
  <c r="AY101" i="11"/>
  <c r="AY102" i="11"/>
  <c r="AY103" i="11"/>
  <c r="AY104" i="11"/>
  <c r="AY105" i="11"/>
  <c r="AY106" i="11"/>
  <c r="AY107" i="11"/>
  <c r="AY108" i="11"/>
  <c r="AY109" i="11"/>
  <c r="AY110" i="11"/>
  <c r="AY111" i="11"/>
  <c r="AY112" i="11"/>
  <c r="AY113" i="11"/>
  <c r="AY114" i="11"/>
  <c r="AY115" i="11"/>
  <c r="AY116" i="11"/>
  <c r="P11" i="11"/>
  <c r="K9" i="14"/>
  <c r="L5" i="11"/>
  <c r="I2" i="14"/>
  <c r="D8" i="7"/>
  <c r="L8" i="7"/>
  <c r="M8" i="7"/>
  <c r="L9" i="7"/>
  <c r="M9" i="7"/>
  <c r="M24" i="7"/>
  <c r="F24" i="7"/>
  <c r="C24" i="7"/>
  <c r="C16" i="7"/>
  <c r="F9" i="7"/>
  <c r="G24" i="7"/>
  <c r="B86" i="13"/>
  <c r="C87" i="13"/>
  <c r="B85" i="13"/>
  <c r="B87" i="13"/>
  <c r="T3" i="11"/>
  <c r="T2" i="11"/>
  <c r="O3" i="11"/>
  <c r="M3" i="11"/>
  <c r="M2" i="11"/>
  <c r="N3" i="11"/>
  <c r="H43" i="13"/>
  <c r="H44" i="13"/>
  <c r="J54" i="13"/>
  <c r="D51" i="13"/>
  <c r="D36" i="13"/>
  <c r="C51" i="13"/>
  <c r="C54" i="13"/>
  <c r="B59" i="13"/>
  <c r="E80" i="13"/>
  <c r="N30" i="13"/>
  <c r="H40" i="13"/>
  <c r="O35" i="1"/>
  <c r="N35" i="1"/>
  <c r="M35" i="1"/>
  <c r="L30" i="13"/>
  <c r="M30" i="13"/>
  <c r="AH30" i="11"/>
  <c r="AM30" i="11"/>
  <c r="AQ30" i="11"/>
  <c r="AU30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1" i="11"/>
  <c r="V112" i="11"/>
  <c r="V113" i="11"/>
  <c r="V114" i="11"/>
  <c r="V115" i="11"/>
  <c r="V116" i="11"/>
  <c r="V21" i="11"/>
  <c r="V22" i="11"/>
  <c r="V23" i="11"/>
  <c r="V24" i="11"/>
  <c r="V25" i="11"/>
  <c r="V26" i="11"/>
  <c r="V27" i="11"/>
  <c r="V28" i="11"/>
  <c r="V20" i="11"/>
  <c r="D79" i="5"/>
  <c r="F79" i="5"/>
  <c r="G79" i="5"/>
  <c r="L79" i="5"/>
  <c r="D80" i="5"/>
  <c r="F80" i="5"/>
  <c r="G80" i="5"/>
  <c r="L80" i="5"/>
  <c r="D81" i="5"/>
  <c r="F81" i="5"/>
  <c r="G81" i="5"/>
  <c r="L81" i="5"/>
  <c r="D82" i="5"/>
  <c r="F82" i="5"/>
  <c r="G82" i="5"/>
  <c r="L82" i="5"/>
  <c r="D83" i="5"/>
  <c r="F83" i="5"/>
  <c r="G83" i="5"/>
  <c r="L83" i="5"/>
  <c r="D84" i="5"/>
  <c r="F84" i="5"/>
  <c r="G84" i="5"/>
  <c r="L84" i="5"/>
  <c r="D85" i="5"/>
  <c r="F85" i="5"/>
  <c r="G85" i="5"/>
  <c r="L85" i="5"/>
  <c r="D86" i="5"/>
  <c r="F86" i="5"/>
  <c r="G86" i="5"/>
  <c r="L86" i="5"/>
  <c r="D87" i="5"/>
  <c r="F87" i="5"/>
  <c r="G87" i="5"/>
  <c r="L87" i="5"/>
  <c r="D88" i="5"/>
  <c r="F88" i="5"/>
  <c r="G88" i="5"/>
  <c r="L88" i="5"/>
  <c r="D89" i="5"/>
  <c r="F89" i="5"/>
  <c r="G89" i="5"/>
  <c r="L89" i="5"/>
  <c r="D90" i="5"/>
  <c r="F90" i="5"/>
  <c r="G90" i="5"/>
  <c r="L90" i="5"/>
  <c r="D91" i="5"/>
  <c r="F91" i="5"/>
  <c r="G91" i="5"/>
  <c r="L91" i="5"/>
  <c r="D92" i="5"/>
  <c r="F92" i="5"/>
  <c r="G92" i="5"/>
  <c r="L92" i="5"/>
  <c r="D93" i="5"/>
  <c r="F93" i="5"/>
  <c r="G93" i="5"/>
  <c r="L93" i="5"/>
  <c r="D94" i="5"/>
  <c r="F94" i="5"/>
  <c r="G94" i="5"/>
  <c r="L94" i="5"/>
  <c r="D95" i="5"/>
  <c r="F95" i="5"/>
  <c r="G95" i="5"/>
  <c r="L95" i="5"/>
  <c r="D96" i="5"/>
  <c r="F96" i="5"/>
  <c r="G96" i="5"/>
  <c r="L96" i="5"/>
  <c r="D97" i="5"/>
  <c r="F97" i="5"/>
  <c r="G97" i="5"/>
  <c r="L97" i="5"/>
  <c r="D98" i="5"/>
  <c r="F98" i="5"/>
  <c r="G98" i="5"/>
  <c r="L98" i="5"/>
  <c r="D99" i="5"/>
  <c r="F99" i="5"/>
  <c r="G99" i="5"/>
  <c r="L99" i="5"/>
  <c r="D100" i="5"/>
  <c r="F100" i="5"/>
  <c r="G100" i="5"/>
  <c r="L100" i="5"/>
  <c r="C101" i="5"/>
  <c r="D101" i="5"/>
  <c r="F101" i="5"/>
  <c r="G101" i="5"/>
  <c r="L101" i="5"/>
  <c r="C102" i="5"/>
  <c r="D102" i="5"/>
  <c r="F102" i="5"/>
  <c r="G102" i="5"/>
  <c r="L102" i="5"/>
  <c r="C103" i="5"/>
  <c r="D103" i="5"/>
  <c r="F103" i="5"/>
  <c r="G103" i="5"/>
  <c r="L103" i="5"/>
  <c r="C104" i="5"/>
  <c r="D104" i="5"/>
  <c r="F104" i="5"/>
  <c r="G104" i="5"/>
  <c r="L104" i="5"/>
  <c r="C105" i="5"/>
  <c r="D105" i="5"/>
  <c r="F105" i="5"/>
  <c r="G105" i="5"/>
  <c r="L105" i="5"/>
  <c r="C106" i="5"/>
  <c r="D106" i="5"/>
  <c r="F106" i="5"/>
  <c r="G106" i="5"/>
  <c r="L106" i="5"/>
  <c r="C107" i="5"/>
  <c r="D107" i="5"/>
  <c r="F107" i="5"/>
  <c r="G107" i="5"/>
  <c r="L107" i="5"/>
  <c r="C108" i="5"/>
  <c r="D108" i="5"/>
  <c r="F108" i="5"/>
  <c r="G108" i="5"/>
  <c r="L108" i="5"/>
  <c r="J36" i="5"/>
  <c r="B85" i="1"/>
  <c r="C109" i="5"/>
  <c r="D109" i="5"/>
  <c r="F109" i="5"/>
  <c r="G109" i="5"/>
  <c r="L109" i="5"/>
  <c r="C110" i="5"/>
  <c r="D110" i="5"/>
  <c r="F110" i="5"/>
  <c r="G110" i="5"/>
  <c r="L110" i="5"/>
  <c r="C111" i="5"/>
  <c r="D111" i="5"/>
  <c r="F111" i="5"/>
  <c r="G111" i="5"/>
  <c r="L111" i="5"/>
  <c r="C112" i="5"/>
  <c r="D112" i="5"/>
  <c r="F112" i="5"/>
  <c r="G112" i="5"/>
  <c r="L112" i="5"/>
  <c r="C113" i="5"/>
  <c r="D113" i="5"/>
  <c r="F113" i="5"/>
  <c r="G113" i="5"/>
  <c r="L113" i="5"/>
  <c r="C114" i="5"/>
  <c r="D114" i="5"/>
  <c r="F114" i="5"/>
  <c r="G114" i="5"/>
  <c r="L114" i="5"/>
  <c r="C115" i="5"/>
  <c r="D115" i="5"/>
  <c r="F115" i="5"/>
  <c r="G115" i="5"/>
  <c r="L115" i="5"/>
  <c r="C116" i="5"/>
  <c r="D116" i="5"/>
  <c r="F116" i="5"/>
  <c r="G116" i="5"/>
  <c r="L116" i="5"/>
  <c r="C117" i="5"/>
  <c r="D117" i="5"/>
  <c r="F117" i="5"/>
  <c r="G117" i="5"/>
  <c r="L117" i="5"/>
  <c r="C118" i="5"/>
  <c r="D118" i="5"/>
  <c r="F118" i="5"/>
  <c r="G118" i="5"/>
  <c r="L118" i="5"/>
  <c r="C119" i="5"/>
  <c r="D119" i="5"/>
  <c r="F119" i="5"/>
  <c r="G119" i="5"/>
  <c r="L119" i="5"/>
  <c r="C120" i="5"/>
  <c r="D120" i="5"/>
  <c r="F120" i="5"/>
  <c r="G120" i="5"/>
  <c r="L120" i="5"/>
  <c r="C121" i="5"/>
  <c r="D121" i="5"/>
  <c r="F121" i="5"/>
  <c r="G121" i="5"/>
  <c r="L121" i="5"/>
  <c r="C122" i="5"/>
  <c r="D122" i="5"/>
  <c r="F122" i="5"/>
  <c r="G122" i="5"/>
  <c r="L122" i="5"/>
  <c r="C123" i="5"/>
  <c r="D123" i="5"/>
  <c r="F123" i="5"/>
  <c r="G123" i="5"/>
  <c r="L123" i="5"/>
  <c r="C124" i="5"/>
  <c r="D124" i="5"/>
  <c r="F124" i="5"/>
  <c r="G124" i="5"/>
  <c r="L124" i="5"/>
  <c r="C125" i="5"/>
  <c r="D125" i="5"/>
  <c r="F125" i="5"/>
  <c r="G125" i="5"/>
  <c r="L125" i="5"/>
  <c r="C126" i="5"/>
  <c r="D126" i="5"/>
  <c r="F126" i="5"/>
  <c r="G126" i="5"/>
  <c r="L126" i="5"/>
  <c r="C127" i="5"/>
  <c r="D127" i="5"/>
  <c r="F127" i="5"/>
  <c r="G127" i="5"/>
  <c r="L127" i="5"/>
  <c r="C128" i="5"/>
  <c r="D128" i="5"/>
  <c r="F128" i="5"/>
  <c r="G128" i="5"/>
  <c r="L128" i="5"/>
  <c r="C129" i="5"/>
  <c r="D129" i="5"/>
  <c r="F129" i="5"/>
  <c r="G129" i="5"/>
  <c r="L129" i="5"/>
  <c r="C130" i="5"/>
  <c r="D130" i="5"/>
  <c r="F130" i="5"/>
  <c r="G130" i="5"/>
  <c r="L130" i="5"/>
  <c r="C131" i="5"/>
  <c r="D131" i="5"/>
  <c r="F131" i="5"/>
  <c r="G131" i="5"/>
  <c r="L131" i="5"/>
  <c r="C132" i="5"/>
  <c r="D132" i="5"/>
  <c r="F132" i="5"/>
  <c r="G132" i="5"/>
  <c r="L132" i="5"/>
  <c r="C133" i="5"/>
  <c r="D133" i="5"/>
  <c r="F133" i="5"/>
  <c r="G133" i="5"/>
  <c r="L133" i="5"/>
  <c r="C134" i="5"/>
  <c r="D134" i="5"/>
  <c r="F134" i="5"/>
  <c r="G134" i="5"/>
  <c r="L134" i="5"/>
  <c r="C135" i="5"/>
  <c r="D135" i="5"/>
  <c r="F135" i="5"/>
  <c r="G135" i="5"/>
  <c r="L135" i="5"/>
  <c r="C136" i="5"/>
  <c r="D136" i="5"/>
  <c r="F136" i="5"/>
  <c r="G136" i="5"/>
  <c r="L136" i="5"/>
  <c r="C137" i="5"/>
  <c r="D137" i="5"/>
  <c r="F137" i="5"/>
  <c r="G137" i="5"/>
  <c r="L137" i="5"/>
  <c r="C138" i="5"/>
  <c r="D138" i="5"/>
  <c r="F138" i="5"/>
  <c r="G138" i="5"/>
  <c r="L138" i="5"/>
  <c r="C139" i="5"/>
  <c r="D139" i="5"/>
  <c r="F139" i="5"/>
  <c r="G139" i="5"/>
  <c r="L139" i="5"/>
  <c r="C140" i="5"/>
  <c r="D140" i="5"/>
  <c r="F140" i="5"/>
  <c r="G140" i="5"/>
  <c r="L140" i="5"/>
  <c r="C141" i="5"/>
  <c r="D141" i="5"/>
  <c r="F141" i="5"/>
  <c r="G141" i="5"/>
  <c r="L141" i="5"/>
  <c r="C142" i="5"/>
  <c r="D142" i="5"/>
  <c r="F142" i="5"/>
  <c r="G142" i="5"/>
  <c r="L142" i="5"/>
  <c r="C143" i="5"/>
  <c r="D143" i="5"/>
  <c r="F143" i="5"/>
  <c r="G143" i="5"/>
  <c r="L143" i="5"/>
  <c r="C144" i="5"/>
  <c r="D144" i="5"/>
  <c r="F144" i="5"/>
  <c r="G144" i="5"/>
  <c r="L144" i="5"/>
  <c r="C145" i="5"/>
  <c r="D145" i="5"/>
  <c r="F145" i="5"/>
  <c r="G145" i="5"/>
  <c r="L145" i="5"/>
  <c r="C146" i="5"/>
  <c r="D146" i="5"/>
  <c r="F146" i="5"/>
  <c r="G146" i="5"/>
  <c r="L146" i="5"/>
  <c r="C147" i="5"/>
  <c r="D147" i="5"/>
  <c r="F147" i="5"/>
  <c r="G147" i="5"/>
  <c r="L147" i="5"/>
  <c r="C148" i="5"/>
  <c r="D148" i="5"/>
  <c r="F148" i="5"/>
  <c r="G148" i="5"/>
  <c r="L148" i="5"/>
  <c r="C149" i="5"/>
  <c r="D149" i="5"/>
  <c r="F149" i="5"/>
  <c r="G149" i="5"/>
  <c r="L149" i="5"/>
  <c r="C150" i="5"/>
  <c r="D150" i="5"/>
  <c r="F150" i="5"/>
  <c r="G150" i="5"/>
  <c r="L150" i="5"/>
  <c r="C151" i="5"/>
  <c r="D151" i="5"/>
  <c r="F151" i="5"/>
  <c r="G151" i="5"/>
  <c r="L151" i="5"/>
  <c r="C152" i="5"/>
  <c r="D152" i="5"/>
  <c r="F152" i="5"/>
  <c r="G152" i="5"/>
  <c r="L152" i="5"/>
  <c r="C153" i="5"/>
  <c r="D153" i="5"/>
  <c r="F153" i="5"/>
  <c r="G153" i="5"/>
  <c r="L153" i="5"/>
  <c r="C154" i="5"/>
  <c r="D154" i="5"/>
  <c r="F154" i="5"/>
  <c r="G154" i="5"/>
  <c r="L154" i="5"/>
  <c r="C155" i="5"/>
  <c r="D155" i="5"/>
  <c r="F155" i="5"/>
  <c r="G155" i="5"/>
  <c r="L155" i="5"/>
  <c r="C156" i="5"/>
  <c r="D156" i="5"/>
  <c r="F156" i="5"/>
  <c r="G156" i="5"/>
  <c r="L156" i="5"/>
  <c r="C157" i="5"/>
  <c r="D157" i="5"/>
  <c r="F157" i="5"/>
  <c r="G157" i="5"/>
  <c r="L157" i="5"/>
  <c r="C158" i="5"/>
  <c r="D158" i="5"/>
  <c r="F158" i="5"/>
  <c r="G158" i="5"/>
  <c r="L158" i="5"/>
  <c r="C159" i="5"/>
  <c r="D159" i="5"/>
  <c r="F159" i="5"/>
  <c r="G159" i="5"/>
  <c r="L159" i="5"/>
  <c r="C160" i="5"/>
  <c r="D160" i="5"/>
  <c r="F160" i="5"/>
  <c r="G160" i="5"/>
  <c r="L160" i="5"/>
  <c r="C161" i="5"/>
  <c r="D161" i="5"/>
  <c r="F161" i="5"/>
  <c r="G161" i="5"/>
  <c r="L161" i="5"/>
  <c r="C162" i="5"/>
  <c r="D162" i="5"/>
  <c r="F162" i="5"/>
  <c r="G162" i="5"/>
  <c r="L162" i="5"/>
  <c r="C163" i="5"/>
  <c r="D163" i="5"/>
  <c r="F163" i="5"/>
  <c r="G163" i="5"/>
  <c r="L163" i="5"/>
  <c r="C164" i="5"/>
  <c r="D164" i="5"/>
  <c r="F164" i="5"/>
  <c r="G164" i="5"/>
  <c r="L164" i="5"/>
  <c r="C165" i="5"/>
  <c r="D165" i="5"/>
  <c r="F165" i="5"/>
  <c r="G165" i="5"/>
  <c r="L165" i="5"/>
  <c r="C166" i="5"/>
  <c r="D166" i="5"/>
  <c r="F166" i="5"/>
  <c r="G166" i="5"/>
  <c r="L166" i="5"/>
  <c r="C167" i="5"/>
  <c r="D167" i="5"/>
  <c r="F167" i="5"/>
  <c r="G167" i="5"/>
  <c r="L167" i="5"/>
  <c r="C168" i="5"/>
  <c r="D168" i="5"/>
  <c r="F168" i="5"/>
  <c r="G168" i="5"/>
  <c r="L168" i="5"/>
  <c r="C169" i="5"/>
  <c r="D169" i="5"/>
  <c r="F169" i="5"/>
  <c r="G169" i="5"/>
  <c r="L169" i="5"/>
  <c r="C170" i="5"/>
  <c r="D170" i="5"/>
  <c r="F170" i="5"/>
  <c r="G170" i="5"/>
  <c r="L170" i="5"/>
  <c r="C171" i="5"/>
  <c r="D171" i="5"/>
  <c r="F171" i="5"/>
  <c r="G171" i="5"/>
  <c r="L171" i="5"/>
  <c r="C172" i="5"/>
  <c r="D172" i="5"/>
  <c r="F172" i="5"/>
  <c r="G172" i="5"/>
  <c r="L172" i="5"/>
  <c r="C173" i="5"/>
  <c r="D173" i="5"/>
  <c r="F173" i="5"/>
  <c r="G173" i="5"/>
  <c r="L173" i="5"/>
  <c r="C174" i="5"/>
  <c r="D174" i="5"/>
  <c r="F174" i="5"/>
  <c r="G174" i="5"/>
  <c r="L174" i="5"/>
  <c r="C175" i="5"/>
  <c r="D175" i="5"/>
  <c r="F175" i="5"/>
  <c r="G175" i="5"/>
  <c r="L175" i="5"/>
  <c r="J37" i="5"/>
  <c r="B86" i="1"/>
  <c r="J35" i="5"/>
  <c r="B84" i="1"/>
  <c r="J56" i="1"/>
  <c r="J61" i="1"/>
  <c r="J64" i="1"/>
  <c r="C35" i="5"/>
  <c r="B67" i="13"/>
  <c r="B72" i="13"/>
  <c r="D40" i="13"/>
  <c r="D87" i="13"/>
  <c r="B88" i="13"/>
  <c r="C88" i="13"/>
  <c r="D88" i="13"/>
  <c r="B89" i="13"/>
  <c r="C89" i="13"/>
  <c r="D89" i="13"/>
  <c r="B90" i="13"/>
  <c r="D90" i="13"/>
  <c r="D91" i="13"/>
  <c r="B91" i="13"/>
  <c r="B71" i="13"/>
  <c r="B73" i="13"/>
  <c r="B60" i="13"/>
  <c r="D60" i="13"/>
  <c r="D67" i="13"/>
  <c r="C67" i="13"/>
  <c r="C73" i="13"/>
  <c r="D73" i="13"/>
  <c r="B74" i="13"/>
  <c r="C74" i="13"/>
  <c r="D74" i="13"/>
  <c r="B75" i="13"/>
  <c r="C75" i="13"/>
  <c r="D75" i="13"/>
  <c r="B76" i="13"/>
  <c r="D76" i="13"/>
  <c r="D77" i="13"/>
  <c r="B77" i="13"/>
  <c r="B61" i="13"/>
  <c r="C61" i="13"/>
  <c r="D61" i="13"/>
  <c r="B62" i="13"/>
  <c r="C62" i="13"/>
  <c r="D62" i="13"/>
  <c r="B63" i="13"/>
  <c r="D63" i="13"/>
  <c r="D64" i="13"/>
  <c r="E64" i="13"/>
  <c r="B64" i="13"/>
  <c r="K8" i="13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76" i="5"/>
  <c r="C197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9" i="1"/>
  <c r="D199" i="1"/>
  <c r="T94" i="1"/>
  <c r="U94" i="1"/>
  <c r="V94" i="1"/>
  <c r="T95" i="1"/>
  <c r="U95" i="1"/>
  <c r="V95" i="1"/>
  <c r="T96" i="1"/>
  <c r="U96" i="1"/>
  <c r="V96" i="1"/>
  <c r="T97" i="1"/>
  <c r="U97" i="1"/>
  <c r="V97" i="1"/>
  <c r="T98" i="1"/>
  <c r="U98" i="1"/>
  <c r="V98" i="1"/>
  <c r="T99" i="1"/>
  <c r="U99" i="1"/>
  <c r="V99" i="1"/>
  <c r="R100" i="1"/>
  <c r="T100" i="1"/>
  <c r="U100" i="1"/>
  <c r="V100" i="1"/>
  <c r="R101" i="1"/>
  <c r="T101" i="1"/>
  <c r="U101" i="1"/>
  <c r="V101" i="1"/>
  <c r="R102" i="1"/>
  <c r="T102" i="1"/>
  <c r="U102" i="1"/>
  <c r="V102" i="1"/>
  <c r="R103" i="1"/>
  <c r="T103" i="1"/>
  <c r="U103" i="1"/>
  <c r="V103" i="1"/>
  <c r="R104" i="1"/>
  <c r="T104" i="1"/>
  <c r="U104" i="1"/>
  <c r="V104" i="1"/>
  <c r="R105" i="1"/>
  <c r="T105" i="1"/>
  <c r="U105" i="1"/>
  <c r="V105" i="1"/>
  <c r="R106" i="1"/>
  <c r="T106" i="1"/>
  <c r="U106" i="1"/>
  <c r="V106" i="1"/>
  <c r="R107" i="1"/>
  <c r="T107" i="1"/>
  <c r="U107" i="1"/>
  <c r="V107" i="1"/>
  <c r="R108" i="1"/>
  <c r="T108" i="1"/>
  <c r="U108" i="1"/>
  <c r="V108" i="1"/>
  <c r="R109" i="1"/>
  <c r="T109" i="1"/>
  <c r="U109" i="1"/>
  <c r="V109" i="1"/>
  <c r="R110" i="1"/>
  <c r="T110" i="1"/>
  <c r="U110" i="1"/>
  <c r="V110" i="1"/>
  <c r="R111" i="1"/>
  <c r="T111" i="1"/>
  <c r="U111" i="1"/>
  <c r="V111" i="1"/>
  <c r="R112" i="1"/>
  <c r="T112" i="1"/>
  <c r="U112" i="1"/>
  <c r="V112" i="1"/>
  <c r="R113" i="1"/>
  <c r="T113" i="1"/>
  <c r="U113" i="1"/>
  <c r="V113" i="1"/>
  <c r="R114" i="1"/>
  <c r="T114" i="1"/>
  <c r="U114" i="1"/>
  <c r="V114" i="1"/>
  <c r="R115" i="1"/>
  <c r="T115" i="1"/>
  <c r="U115" i="1"/>
  <c r="V115" i="1"/>
  <c r="R116" i="1"/>
  <c r="T116" i="1"/>
  <c r="U116" i="1"/>
  <c r="V116" i="1"/>
  <c r="R117" i="1"/>
  <c r="T117" i="1"/>
  <c r="U117" i="1"/>
  <c r="V117" i="1"/>
  <c r="R118" i="1"/>
  <c r="T118" i="1"/>
  <c r="U118" i="1"/>
  <c r="V118" i="1"/>
  <c r="R119" i="1"/>
  <c r="T119" i="1"/>
  <c r="U119" i="1"/>
  <c r="V119" i="1"/>
  <c r="R120" i="1"/>
  <c r="T120" i="1"/>
  <c r="U120" i="1"/>
  <c r="V120" i="1"/>
  <c r="R121" i="1"/>
  <c r="T121" i="1"/>
  <c r="U121" i="1"/>
  <c r="V121" i="1"/>
  <c r="R122" i="1"/>
  <c r="T122" i="1"/>
  <c r="U122" i="1"/>
  <c r="V122" i="1"/>
  <c r="R123" i="1"/>
  <c r="T123" i="1"/>
  <c r="U123" i="1"/>
  <c r="V123" i="1"/>
  <c r="R124" i="1"/>
  <c r="T124" i="1"/>
  <c r="U124" i="1"/>
  <c r="V124" i="1"/>
  <c r="R125" i="1"/>
  <c r="T125" i="1"/>
  <c r="U125" i="1"/>
  <c r="V125" i="1"/>
  <c r="R126" i="1"/>
  <c r="T126" i="1"/>
  <c r="U126" i="1"/>
  <c r="V126" i="1"/>
  <c r="R127" i="1"/>
  <c r="T127" i="1"/>
  <c r="U127" i="1"/>
  <c r="V127" i="1"/>
  <c r="R128" i="1"/>
  <c r="T128" i="1"/>
  <c r="U128" i="1"/>
  <c r="V128" i="1"/>
  <c r="R129" i="1"/>
  <c r="T129" i="1"/>
  <c r="U129" i="1"/>
  <c r="V129" i="1"/>
  <c r="R130" i="1"/>
  <c r="T130" i="1"/>
  <c r="U130" i="1"/>
  <c r="V130" i="1"/>
  <c r="R131" i="1"/>
  <c r="T131" i="1"/>
  <c r="U131" i="1"/>
  <c r="V131" i="1"/>
  <c r="R132" i="1"/>
  <c r="T132" i="1"/>
  <c r="U132" i="1"/>
  <c r="V132" i="1"/>
  <c r="R133" i="1"/>
  <c r="T133" i="1"/>
  <c r="U133" i="1"/>
  <c r="V133" i="1"/>
  <c r="R134" i="1"/>
  <c r="T134" i="1"/>
  <c r="U134" i="1"/>
  <c r="V134" i="1"/>
  <c r="R135" i="1"/>
  <c r="T135" i="1"/>
  <c r="U135" i="1"/>
  <c r="V135" i="1"/>
  <c r="R136" i="1"/>
  <c r="T136" i="1"/>
  <c r="U136" i="1"/>
  <c r="V136" i="1"/>
  <c r="R137" i="1"/>
  <c r="T137" i="1"/>
  <c r="U137" i="1"/>
  <c r="V137" i="1"/>
  <c r="R138" i="1"/>
  <c r="T138" i="1"/>
  <c r="U138" i="1"/>
  <c r="V138" i="1"/>
  <c r="R139" i="1"/>
  <c r="T139" i="1"/>
  <c r="U139" i="1"/>
  <c r="V139" i="1"/>
  <c r="R140" i="1"/>
  <c r="T140" i="1"/>
  <c r="U140" i="1"/>
  <c r="V140" i="1"/>
  <c r="R141" i="1"/>
  <c r="T141" i="1"/>
  <c r="U141" i="1"/>
  <c r="V141" i="1"/>
  <c r="R142" i="1"/>
  <c r="T142" i="1"/>
  <c r="U142" i="1"/>
  <c r="V142" i="1"/>
  <c r="R143" i="1"/>
  <c r="T143" i="1"/>
  <c r="U143" i="1"/>
  <c r="V143" i="1"/>
  <c r="R144" i="1"/>
  <c r="T144" i="1"/>
  <c r="U144" i="1"/>
  <c r="V144" i="1"/>
  <c r="R145" i="1"/>
  <c r="T145" i="1"/>
  <c r="U145" i="1"/>
  <c r="V145" i="1"/>
  <c r="R146" i="1"/>
  <c r="T146" i="1"/>
  <c r="U146" i="1"/>
  <c r="V146" i="1"/>
  <c r="R147" i="1"/>
  <c r="T147" i="1"/>
  <c r="U147" i="1"/>
  <c r="V147" i="1"/>
  <c r="R148" i="1"/>
  <c r="T148" i="1"/>
  <c r="U148" i="1"/>
  <c r="V148" i="1"/>
  <c r="R149" i="1"/>
  <c r="T149" i="1"/>
  <c r="U149" i="1"/>
  <c r="V149" i="1"/>
  <c r="R150" i="1"/>
  <c r="T150" i="1"/>
  <c r="U150" i="1"/>
  <c r="V150" i="1"/>
  <c r="R151" i="1"/>
  <c r="T151" i="1"/>
  <c r="U151" i="1"/>
  <c r="V151" i="1"/>
  <c r="R152" i="1"/>
  <c r="T152" i="1"/>
  <c r="U152" i="1"/>
  <c r="V152" i="1"/>
  <c r="R153" i="1"/>
  <c r="T153" i="1"/>
  <c r="U153" i="1"/>
  <c r="V153" i="1"/>
  <c r="R154" i="1"/>
  <c r="T154" i="1"/>
  <c r="U154" i="1"/>
  <c r="V154" i="1"/>
  <c r="R155" i="1"/>
  <c r="T155" i="1"/>
  <c r="U155" i="1"/>
  <c r="V155" i="1"/>
  <c r="R156" i="1"/>
  <c r="T156" i="1"/>
  <c r="U156" i="1"/>
  <c r="V156" i="1"/>
  <c r="R157" i="1"/>
  <c r="T157" i="1"/>
  <c r="U157" i="1"/>
  <c r="V157" i="1"/>
  <c r="R158" i="1"/>
  <c r="T158" i="1"/>
  <c r="U158" i="1"/>
  <c r="V158" i="1"/>
  <c r="R159" i="1"/>
  <c r="T159" i="1"/>
  <c r="U159" i="1"/>
  <c r="V159" i="1"/>
  <c r="R160" i="1"/>
  <c r="T160" i="1"/>
  <c r="U160" i="1"/>
  <c r="V160" i="1"/>
  <c r="R161" i="1"/>
  <c r="T161" i="1"/>
  <c r="U161" i="1"/>
  <c r="V161" i="1"/>
  <c r="R162" i="1"/>
  <c r="T162" i="1"/>
  <c r="U162" i="1"/>
  <c r="V162" i="1"/>
  <c r="R163" i="1"/>
  <c r="T163" i="1"/>
  <c r="U163" i="1"/>
  <c r="V163" i="1"/>
  <c r="R164" i="1"/>
  <c r="T164" i="1"/>
  <c r="U164" i="1"/>
  <c r="V164" i="1"/>
  <c r="R165" i="1"/>
  <c r="T165" i="1"/>
  <c r="U165" i="1"/>
  <c r="V165" i="1"/>
  <c r="R166" i="1"/>
  <c r="T166" i="1"/>
  <c r="U166" i="1"/>
  <c r="V166" i="1"/>
  <c r="R167" i="1"/>
  <c r="T167" i="1"/>
  <c r="U167" i="1"/>
  <c r="V167" i="1"/>
  <c r="R168" i="1"/>
  <c r="T168" i="1"/>
  <c r="U168" i="1"/>
  <c r="V168" i="1"/>
  <c r="R169" i="1"/>
  <c r="T169" i="1"/>
  <c r="U169" i="1"/>
  <c r="V169" i="1"/>
  <c r="R170" i="1"/>
  <c r="T170" i="1"/>
  <c r="U170" i="1"/>
  <c r="V170" i="1"/>
  <c r="R171" i="1"/>
  <c r="T171" i="1"/>
  <c r="U171" i="1"/>
  <c r="V171" i="1"/>
  <c r="R172" i="1"/>
  <c r="T172" i="1"/>
  <c r="U172" i="1"/>
  <c r="V172" i="1"/>
  <c r="R173" i="1"/>
  <c r="T173" i="1"/>
  <c r="U173" i="1"/>
  <c r="V173" i="1"/>
  <c r="R174" i="1"/>
  <c r="T174" i="1"/>
  <c r="U174" i="1"/>
  <c r="V174" i="1"/>
  <c r="R175" i="1"/>
  <c r="T175" i="1"/>
  <c r="U175" i="1"/>
  <c r="V175" i="1"/>
  <c r="R176" i="1"/>
  <c r="T176" i="1"/>
  <c r="U176" i="1"/>
  <c r="V176" i="1"/>
  <c r="R177" i="1"/>
  <c r="T177" i="1"/>
  <c r="U177" i="1"/>
  <c r="V177" i="1"/>
  <c r="R178" i="1"/>
  <c r="T178" i="1"/>
  <c r="U178" i="1"/>
  <c r="V178" i="1"/>
  <c r="R179" i="1"/>
  <c r="T179" i="1"/>
  <c r="U179" i="1"/>
  <c r="V179" i="1"/>
  <c r="R180" i="1"/>
  <c r="T180" i="1"/>
  <c r="U180" i="1"/>
  <c r="V180" i="1"/>
  <c r="R181" i="1"/>
  <c r="T181" i="1"/>
  <c r="U181" i="1"/>
  <c r="V181" i="1"/>
  <c r="R182" i="1"/>
  <c r="T182" i="1"/>
  <c r="U182" i="1"/>
  <c r="V182" i="1"/>
  <c r="R183" i="1"/>
  <c r="T183" i="1"/>
  <c r="U183" i="1"/>
  <c r="V183" i="1"/>
  <c r="R184" i="1"/>
  <c r="T184" i="1"/>
  <c r="U184" i="1"/>
  <c r="V184" i="1"/>
  <c r="R185" i="1"/>
  <c r="T185" i="1"/>
  <c r="U185" i="1"/>
  <c r="V185" i="1"/>
  <c r="R186" i="1"/>
  <c r="T186" i="1"/>
  <c r="U186" i="1"/>
  <c r="V186" i="1"/>
  <c r="R187" i="1"/>
  <c r="T187" i="1"/>
  <c r="U187" i="1"/>
  <c r="V187" i="1"/>
  <c r="R188" i="1"/>
  <c r="T188" i="1"/>
  <c r="U188" i="1"/>
  <c r="V188" i="1"/>
  <c r="R189" i="1"/>
  <c r="T189" i="1"/>
  <c r="U189" i="1"/>
  <c r="V189" i="1"/>
  <c r="R190" i="1"/>
  <c r="T190" i="1"/>
  <c r="U190" i="1"/>
  <c r="V190" i="1"/>
  <c r="V191" i="1"/>
  <c r="T191" i="1"/>
  <c r="R191" i="1"/>
  <c r="E94" i="1"/>
  <c r="F94" i="1"/>
  <c r="G94" i="1"/>
  <c r="E95" i="1"/>
  <c r="F95" i="1"/>
  <c r="G95" i="1"/>
  <c r="E96" i="1"/>
  <c r="F96" i="1"/>
  <c r="G96" i="1"/>
  <c r="E97" i="1"/>
  <c r="F97" i="1"/>
  <c r="G97" i="1"/>
  <c r="E98" i="1"/>
  <c r="F98" i="1"/>
  <c r="G98" i="1"/>
  <c r="E99" i="1"/>
  <c r="F99" i="1"/>
  <c r="G99" i="1"/>
  <c r="E100" i="1"/>
  <c r="F100" i="1"/>
  <c r="G100" i="1"/>
  <c r="E101" i="1"/>
  <c r="F101" i="1"/>
  <c r="G101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8" i="1"/>
  <c r="F108" i="1"/>
  <c r="G108" i="1"/>
  <c r="E109" i="1"/>
  <c r="F109" i="1"/>
  <c r="G109" i="1"/>
  <c r="E110" i="1"/>
  <c r="F110" i="1"/>
  <c r="G110" i="1"/>
  <c r="E111" i="1"/>
  <c r="F111" i="1"/>
  <c r="G111" i="1"/>
  <c r="E112" i="1"/>
  <c r="F112" i="1"/>
  <c r="G112" i="1"/>
  <c r="E113" i="1"/>
  <c r="F113" i="1"/>
  <c r="G113" i="1"/>
  <c r="E114" i="1"/>
  <c r="F114" i="1"/>
  <c r="G114" i="1"/>
  <c r="E115" i="1"/>
  <c r="F115" i="1"/>
  <c r="G115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1" i="1"/>
  <c r="F121" i="1"/>
  <c r="G121" i="1"/>
  <c r="E122" i="1"/>
  <c r="F122" i="1"/>
  <c r="G122" i="1"/>
  <c r="E123" i="1"/>
  <c r="F123" i="1"/>
  <c r="G123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8" i="1"/>
  <c r="F128" i="1"/>
  <c r="G128" i="1"/>
  <c r="E129" i="1"/>
  <c r="F129" i="1"/>
  <c r="G129" i="1"/>
  <c r="E130" i="1"/>
  <c r="F130" i="1"/>
  <c r="G130" i="1"/>
  <c r="E131" i="1"/>
  <c r="F131" i="1"/>
  <c r="G131" i="1"/>
  <c r="E132" i="1"/>
  <c r="F132" i="1"/>
  <c r="G132" i="1"/>
  <c r="E133" i="1"/>
  <c r="F133" i="1"/>
  <c r="G133" i="1"/>
  <c r="E134" i="1"/>
  <c r="F134" i="1"/>
  <c r="G134" i="1"/>
  <c r="E135" i="1"/>
  <c r="F135" i="1"/>
  <c r="G135" i="1"/>
  <c r="E136" i="1"/>
  <c r="F136" i="1"/>
  <c r="G136" i="1"/>
  <c r="E137" i="1"/>
  <c r="F137" i="1"/>
  <c r="G137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E142" i="1"/>
  <c r="F142" i="1"/>
  <c r="G142" i="1"/>
  <c r="E143" i="1"/>
  <c r="F143" i="1"/>
  <c r="G143" i="1"/>
  <c r="E144" i="1"/>
  <c r="F144" i="1"/>
  <c r="G144" i="1"/>
  <c r="E145" i="1"/>
  <c r="F145" i="1"/>
  <c r="G145" i="1"/>
  <c r="E146" i="1"/>
  <c r="F146" i="1"/>
  <c r="G146" i="1"/>
  <c r="E147" i="1"/>
  <c r="F147" i="1"/>
  <c r="G147" i="1"/>
  <c r="E148" i="1"/>
  <c r="F148" i="1"/>
  <c r="G148" i="1"/>
  <c r="E149" i="1"/>
  <c r="F149" i="1"/>
  <c r="G149" i="1"/>
  <c r="E150" i="1"/>
  <c r="F150" i="1"/>
  <c r="G150" i="1"/>
  <c r="E151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4" i="1"/>
  <c r="F164" i="1"/>
  <c r="G164" i="1"/>
  <c r="E165" i="1"/>
  <c r="F165" i="1"/>
  <c r="G165" i="1"/>
  <c r="E166" i="1"/>
  <c r="F166" i="1"/>
  <c r="G166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5" i="1"/>
  <c r="F175" i="1"/>
  <c r="G175" i="1"/>
  <c r="E176" i="1"/>
  <c r="F176" i="1"/>
  <c r="G176" i="1"/>
  <c r="E177" i="1"/>
  <c r="F177" i="1"/>
  <c r="G177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6" i="1"/>
  <c r="F186" i="1"/>
  <c r="G186" i="1"/>
  <c r="E187" i="1"/>
  <c r="F187" i="1"/>
  <c r="G187" i="1"/>
  <c r="E188" i="1"/>
  <c r="F188" i="1"/>
  <c r="G188" i="1"/>
  <c r="E189" i="1"/>
  <c r="F189" i="1"/>
  <c r="G189" i="1"/>
  <c r="E190" i="1"/>
  <c r="F190" i="1"/>
  <c r="G190" i="1"/>
  <c r="G191" i="1"/>
  <c r="E191" i="1"/>
  <c r="K56" i="1"/>
  <c r="K61" i="1"/>
  <c r="K64" i="1"/>
  <c r="M56" i="1"/>
  <c r="M61" i="1"/>
  <c r="Q34" i="1"/>
  <c r="Q33" i="1"/>
  <c r="Q35" i="1"/>
  <c r="G35" i="1"/>
  <c r="X117" i="11"/>
  <c r="J9" i="12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H35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I35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K35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H36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I36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K36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H37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I37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K37" i="5"/>
  <c r="G37" i="5"/>
  <c r="G36" i="5"/>
  <c r="G35" i="5"/>
  <c r="K176" i="5"/>
  <c r="D35" i="5"/>
  <c r="E35" i="5"/>
  <c r="D36" i="5"/>
  <c r="E36" i="5"/>
  <c r="D37" i="5"/>
  <c r="E37" i="5"/>
  <c r="F176" i="5"/>
  <c r="G176" i="5"/>
  <c r="D176" i="5"/>
  <c r="C37" i="5"/>
  <c r="C36" i="5"/>
  <c r="F16" i="7"/>
  <c r="G16" i="7"/>
  <c r="F41" i="7"/>
  <c r="G41" i="7"/>
  <c r="E117" i="11"/>
  <c r="D117" i="11"/>
  <c r="E121" i="11"/>
  <c r="C41" i="7"/>
  <c r="F33" i="7"/>
  <c r="G33" i="7"/>
  <c r="C33" i="7"/>
  <c r="AA4" i="11"/>
  <c r="AA6" i="11"/>
  <c r="AA7" i="11"/>
  <c r="AA8" i="11"/>
  <c r="D4" i="11"/>
  <c r="H53" i="3"/>
  <c r="G141" i="11"/>
  <c r="E135" i="11"/>
  <c r="E136" i="11"/>
  <c r="E137" i="11"/>
  <c r="E138" i="11"/>
  <c r="E139" i="11"/>
  <c r="E134" i="11"/>
  <c r="E127" i="11"/>
  <c r="E128" i="11"/>
  <c r="E129" i="11"/>
  <c r="E130" i="11"/>
  <c r="E131" i="11"/>
  <c r="G132" i="11"/>
  <c r="E126" i="11"/>
  <c r="M117" i="11"/>
  <c r="M123" i="11"/>
  <c r="AY1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69" i="11"/>
  <c r="AW70" i="11"/>
  <c r="AW71" i="11"/>
  <c r="AW72" i="11"/>
  <c r="AW73" i="11"/>
  <c r="AW74" i="11"/>
  <c r="AW75" i="11"/>
  <c r="AW76" i="11"/>
  <c r="AW77" i="11"/>
  <c r="AW78" i="11"/>
  <c r="AW79" i="11"/>
  <c r="AW80" i="11"/>
  <c r="AW81" i="11"/>
  <c r="AW82" i="11"/>
  <c r="AW83" i="11"/>
  <c r="AW84" i="11"/>
  <c r="AW85" i="11"/>
  <c r="AW86" i="11"/>
  <c r="AW87" i="11"/>
  <c r="AW88" i="11"/>
  <c r="AW89" i="11"/>
  <c r="AW90" i="11"/>
  <c r="AW91" i="11"/>
  <c r="AW92" i="11"/>
  <c r="AW93" i="11"/>
  <c r="AW94" i="11"/>
  <c r="AW95" i="11"/>
  <c r="AW96" i="11"/>
  <c r="AW97" i="11"/>
  <c r="AW98" i="11"/>
  <c r="AW99" i="11"/>
  <c r="AW100" i="11"/>
  <c r="AW101" i="11"/>
  <c r="AW102" i="11"/>
  <c r="AW103" i="11"/>
  <c r="AW104" i="11"/>
  <c r="AW105" i="11"/>
  <c r="AW106" i="11"/>
  <c r="AW107" i="11"/>
  <c r="AW108" i="11"/>
  <c r="AW109" i="11"/>
  <c r="AW110" i="11"/>
  <c r="AW111" i="11"/>
  <c r="AW112" i="11"/>
  <c r="AW113" i="11"/>
  <c r="AW114" i="11"/>
  <c r="AW115" i="11"/>
  <c r="AW116" i="11"/>
  <c r="AW119" i="11"/>
  <c r="AH25" i="11"/>
  <c r="AM25" i="11"/>
  <c r="AQ25" i="11"/>
  <c r="AU25" i="11"/>
  <c r="AH26" i="11"/>
  <c r="AM26" i="11"/>
  <c r="AQ26" i="11"/>
  <c r="AU26" i="11"/>
  <c r="AH27" i="11"/>
  <c r="AM27" i="11"/>
  <c r="AQ27" i="11"/>
  <c r="AU27" i="11"/>
  <c r="AH28" i="11"/>
  <c r="AM28" i="11"/>
  <c r="AQ28" i="11"/>
  <c r="AU28" i="11"/>
  <c r="AH29" i="11"/>
  <c r="AM29" i="11"/>
  <c r="AQ29" i="11"/>
  <c r="AU29" i="11"/>
  <c r="AH31" i="11"/>
  <c r="AM31" i="11"/>
  <c r="AQ31" i="11"/>
  <c r="AU31" i="11"/>
  <c r="AH32" i="11"/>
  <c r="AM32" i="11"/>
  <c r="AQ32" i="11"/>
  <c r="AU32" i="11"/>
  <c r="AH33" i="11"/>
  <c r="AM33" i="11"/>
  <c r="AQ33" i="11"/>
  <c r="AU33" i="11"/>
  <c r="AH34" i="11"/>
  <c r="AM34" i="11"/>
  <c r="AQ34" i="11"/>
  <c r="AU34" i="11"/>
  <c r="AH35" i="11"/>
  <c r="AM35" i="11"/>
  <c r="AQ35" i="11"/>
  <c r="AU35" i="11"/>
  <c r="AH36" i="11"/>
  <c r="AM36" i="11"/>
  <c r="AQ36" i="11"/>
  <c r="AU36" i="11"/>
  <c r="AH37" i="11"/>
  <c r="AM37" i="11"/>
  <c r="AQ37" i="11"/>
  <c r="AU37" i="11"/>
  <c r="AH38" i="11"/>
  <c r="AM38" i="11"/>
  <c r="AQ38" i="11"/>
  <c r="AU38" i="11"/>
  <c r="AH39" i="11"/>
  <c r="AM39" i="11"/>
  <c r="AQ39" i="11"/>
  <c r="AU39" i="11"/>
  <c r="AH40" i="11"/>
  <c r="AM40" i="11"/>
  <c r="AQ40" i="11"/>
  <c r="AU40" i="11"/>
  <c r="AH41" i="11"/>
  <c r="AM41" i="11"/>
  <c r="AQ41" i="11"/>
  <c r="AU41" i="11"/>
  <c r="AH42" i="11"/>
  <c r="AM42" i="11"/>
  <c r="AQ42" i="11"/>
  <c r="AU42" i="11"/>
  <c r="AH43" i="11"/>
  <c r="AM43" i="11"/>
  <c r="AQ43" i="11"/>
  <c r="AU43" i="11"/>
  <c r="AH44" i="11"/>
  <c r="AM44" i="11"/>
  <c r="AQ44" i="11"/>
  <c r="AU44" i="11"/>
  <c r="AH45" i="11"/>
  <c r="AM45" i="11"/>
  <c r="AQ45" i="11"/>
  <c r="AU45" i="11"/>
  <c r="AH46" i="11"/>
  <c r="AM46" i="11"/>
  <c r="AQ46" i="11"/>
  <c r="AU46" i="11"/>
  <c r="AH47" i="11"/>
  <c r="AM47" i="11"/>
  <c r="AQ47" i="11"/>
  <c r="AU47" i="11"/>
  <c r="AH48" i="11"/>
  <c r="AM48" i="11"/>
  <c r="AQ48" i="11"/>
  <c r="AU48" i="11"/>
  <c r="AH49" i="11"/>
  <c r="AM49" i="11"/>
  <c r="AQ49" i="11"/>
  <c r="AU49" i="11"/>
  <c r="AH50" i="11"/>
  <c r="AM50" i="11"/>
  <c r="AQ50" i="11"/>
  <c r="AU50" i="11"/>
  <c r="AH51" i="11"/>
  <c r="AM51" i="11"/>
  <c r="AQ51" i="11"/>
  <c r="AU51" i="11"/>
  <c r="AH52" i="11"/>
  <c r="AM52" i="11"/>
  <c r="AQ52" i="11"/>
  <c r="AU52" i="11"/>
  <c r="AH53" i="11"/>
  <c r="AM53" i="11"/>
  <c r="AQ53" i="11"/>
  <c r="AU53" i="11"/>
  <c r="AH54" i="11"/>
  <c r="AM54" i="11"/>
  <c r="AQ54" i="11"/>
  <c r="AU54" i="11"/>
  <c r="AH55" i="11"/>
  <c r="AM55" i="11"/>
  <c r="AQ55" i="11"/>
  <c r="AU55" i="11"/>
  <c r="AH56" i="11"/>
  <c r="AM56" i="11"/>
  <c r="AQ56" i="11"/>
  <c r="AU56" i="11"/>
  <c r="AH57" i="11"/>
  <c r="AM57" i="11"/>
  <c r="AQ57" i="11"/>
  <c r="AU57" i="11"/>
  <c r="AH58" i="11"/>
  <c r="AM58" i="11"/>
  <c r="AQ58" i="11"/>
  <c r="AU58" i="11"/>
  <c r="AH59" i="11"/>
  <c r="AM59" i="11"/>
  <c r="AQ59" i="11"/>
  <c r="AU59" i="11"/>
  <c r="AH60" i="11"/>
  <c r="AM60" i="11"/>
  <c r="AQ60" i="11"/>
  <c r="AU60" i="11"/>
  <c r="AH61" i="11"/>
  <c r="AM61" i="11"/>
  <c r="AQ61" i="11"/>
  <c r="AU61" i="11"/>
  <c r="AH62" i="11"/>
  <c r="AM62" i="11"/>
  <c r="AQ62" i="11"/>
  <c r="AU62" i="11"/>
  <c r="AH63" i="11"/>
  <c r="AM63" i="11"/>
  <c r="AQ63" i="11"/>
  <c r="AU63" i="11"/>
  <c r="AH64" i="11"/>
  <c r="AM64" i="11"/>
  <c r="AQ64" i="11"/>
  <c r="AU64" i="11"/>
  <c r="AH65" i="11"/>
  <c r="AM65" i="11"/>
  <c r="AQ65" i="11"/>
  <c r="AU65" i="11"/>
  <c r="AH66" i="11"/>
  <c r="AM66" i="11"/>
  <c r="AQ66" i="11"/>
  <c r="AU66" i="11"/>
  <c r="AH67" i="11"/>
  <c r="AM67" i="11"/>
  <c r="AQ67" i="11"/>
  <c r="AU67" i="11"/>
  <c r="AH68" i="11"/>
  <c r="AM68" i="11"/>
  <c r="AQ68" i="11"/>
  <c r="AU68" i="11"/>
  <c r="AH69" i="11"/>
  <c r="AM69" i="11"/>
  <c r="AQ69" i="11"/>
  <c r="AU69" i="11"/>
  <c r="AH70" i="11"/>
  <c r="AM70" i="11"/>
  <c r="AQ70" i="11"/>
  <c r="AU70" i="11"/>
  <c r="AH71" i="11"/>
  <c r="AM71" i="11"/>
  <c r="AQ71" i="11"/>
  <c r="AU71" i="11"/>
  <c r="AH72" i="11"/>
  <c r="AM72" i="11"/>
  <c r="AQ72" i="11"/>
  <c r="AU72" i="11"/>
  <c r="AH73" i="11"/>
  <c r="AM73" i="11"/>
  <c r="AQ73" i="11"/>
  <c r="AU73" i="11"/>
  <c r="AH74" i="11"/>
  <c r="AM74" i="11"/>
  <c r="AQ74" i="11"/>
  <c r="AU74" i="11"/>
  <c r="AH75" i="11"/>
  <c r="AM75" i="11"/>
  <c r="AQ75" i="11"/>
  <c r="AU75" i="11"/>
  <c r="AH76" i="11"/>
  <c r="AM76" i="11"/>
  <c r="AQ76" i="11"/>
  <c r="AU76" i="11"/>
  <c r="AH77" i="11"/>
  <c r="AM77" i="11"/>
  <c r="AQ77" i="11"/>
  <c r="AU77" i="11"/>
  <c r="AH78" i="11"/>
  <c r="AM78" i="11"/>
  <c r="AQ78" i="11"/>
  <c r="AU78" i="11"/>
  <c r="AH79" i="11"/>
  <c r="AM79" i="11"/>
  <c r="AQ79" i="11"/>
  <c r="AU79" i="11"/>
  <c r="AH80" i="11"/>
  <c r="AM80" i="11"/>
  <c r="AQ80" i="11"/>
  <c r="AU80" i="11"/>
  <c r="AH81" i="11"/>
  <c r="AM81" i="11"/>
  <c r="AQ81" i="11"/>
  <c r="AU81" i="11"/>
  <c r="AH82" i="11"/>
  <c r="AM82" i="11"/>
  <c r="AQ82" i="11"/>
  <c r="AU82" i="11"/>
  <c r="AH83" i="11"/>
  <c r="AM83" i="11"/>
  <c r="AQ83" i="11"/>
  <c r="AU83" i="11"/>
  <c r="AH84" i="11"/>
  <c r="AM84" i="11"/>
  <c r="AQ84" i="11"/>
  <c r="AU84" i="11"/>
  <c r="AH85" i="11"/>
  <c r="AM85" i="11"/>
  <c r="AQ85" i="11"/>
  <c r="AU85" i="11"/>
  <c r="AH86" i="11"/>
  <c r="AM86" i="11"/>
  <c r="AQ86" i="11"/>
  <c r="AU86" i="11"/>
  <c r="AH87" i="11"/>
  <c r="AM87" i="11"/>
  <c r="AQ87" i="11"/>
  <c r="AU87" i="11"/>
  <c r="AH88" i="11"/>
  <c r="AM88" i="11"/>
  <c r="AQ88" i="11"/>
  <c r="AU88" i="11"/>
  <c r="AH89" i="11"/>
  <c r="AM89" i="11"/>
  <c r="AQ89" i="11"/>
  <c r="AU89" i="11"/>
  <c r="AH90" i="11"/>
  <c r="AM90" i="11"/>
  <c r="AQ90" i="11"/>
  <c r="AU90" i="11"/>
  <c r="AH91" i="11"/>
  <c r="AM91" i="11"/>
  <c r="AQ91" i="11"/>
  <c r="AU91" i="11"/>
  <c r="AH92" i="11"/>
  <c r="AM92" i="11"/>
  <c r="AQ92" i="11"/>
  <c r="AU92" i="11"/>
  <c r="AH93" i="11"/>
  <c r="AM93" i="11"/>
  <c r="AQ93" i="11"/>
  <c r="AU93" i="11"/>
  <c r="AH94" i="11"/>
  <c r="AM94" i="11"/>
  <c r="AQ94" i="11"/>
  <c r="AU94" i="11"/>
  <c r="AH95" i="11"/>
  <c r="AM95" i="11"/>
  <c r="AQ95" i="11"/>
  <c r="AU95" i="11"/>
  <c r="AH96" i="11"/>
  <c r="AM96" i="11"/>
  <c r="AQ96" i="11"/>
  <c r="AU96" i="11"/>
  <c r="AH97" i="11"/>
  <c r="AM97" i="11"/>
  <c r="AQ97" i="11"/>
  <c r="AU97" i="11"/>
  <c r="AH98" i="11"/>
  <c r="AM98" i="11"/>
  <c r="AQ98" i="11"/>
  <c r="AU98" i="11"/>
  <c r="AH99" i="11"/>
  <c r="AM99" i="11"/>
  <c r="AQ99" i="11"/>
  <c r="AU99" i="11"/>
  <c r="AH100" i="11"/>
  <c r="AM100" i="11"/>
  <c r="AQ100" i="11"/>
  <c r="AU100" i="11"/>
  <c r="AH101" i="11"/>
  <c r="AM101" i="11"/>
  <c r="AQ101" i="11"/>
  <c r="AU101" i="11"/>
  <c r="AH102" i="11"/>
  <c r="AM102" i="11"/>
  <c r="AQ102" i="11"/>
  <c r="AU102" i="11"/>
  <c r="AH103" i="11"/>
  <c r="AM103" i="11"/>
  <c r="AQ103" i="11"/>
  <c r="AU103" i="11"/>
  <c r="AH104" i="11"/>
  <c r="AM104" i="11"/>
  <c r="AQ104" i="11"/>
  <c r="AU104" i="11"/>
  <c r="AH105" i="11"/>
  <c r="AM105" i="11"/>
  <c r="AQ105" i="11"/>
  <c r="AU105" i="11"/>
  <c r="AH106" i="11"/>
  <c r="AM106" i="11"/>
  <c r="AQ106" i="11"/>
  <c r="AU106" i="11"/>
  <c r="AH107" i="11"/>
  <c r="AM107" i="11"/>
  <c r="AQ107" i="11"/>
  <c r="AU107" i="11"/>
  <c r="AH108" i="11"/>
  <c r="AM108" i="11"/>
  <c r="AQ108" i="11"/>
  <c r="AU108" i="11"/>
  <c r="AH109" i="11"/>
  <c r="AM109" i="11"/>
  <c r="AQ109" i="11"/>
  <c r="AU109" i="11"/>
  <c r="AH110" i="11"/>
  <c r="AM110" i="11"/>
  <c r="AQ110" i="11"/>
  <c r="AU110" i="11"/>
  <c r="AH111" i="11"/>
  <c r="AM111" i="11"/>
  <c r="AQ111" i="11"/>
  <c r="AU111" i="11"/>
  <c r="AH112" i="11"/>
  <c r="AM112" i="11"/>
  <c r="AQ112" i="11"/>
  <c r="AU112" i="11"/>
  <c r="AH113" i="11"/>
  <c r="AM113" i="11"/>
  <c r="AQ113" i="11"/>
  <c r="AU113" i="11"/>
  <c r="AH114" i="11"/>
  <c r="AM114" i="11"/>
  <c r="AQ114" i="11"/>
  <c r="AU114" i="11"/>
  <c r="AH115" i="11"/>
  <c r="AM115" i="11"/>
  <c r="AQ115" i="11"/>
  <c r="AU115" i="11"/>
  <c r="AH116" i="11"/>
  <c r="AM116" i="11"/>
  <c r="AQ116" i="11"/>
  <c r="AU116" i="11"/>
  <c r="AU119" i="11"/>
  <c r="AJ20" i="11"/>
  <c r="AO20" i="11"/>
  <c r="AS20" i="11"/>
  <c r="AJ21" i="11"/>
  <c r="AO21" i="11"/>
  <c r="AS21" i="11"/>
  <c r="AJ22" i="11"/>
  <c r="AO22" i="11"/>
  <c r="AS22" i="11"/>
  <c r="AJ23" i="11"/>
  <c r="AO23" i="11"/>
  <c r="AS23" i="11"/>
  <c r="AJ24" i="11"/>
  <c r="AO24" i="11"/>
  <c r="AS24" i="11"/>
  <c r="AJ25" i="11"/>
  <c r="AO25" i="11"/>
  <c r="AS25" i="11"/>
  <c r="AJ26" i="11"/>
  <c r="AO26" i="11"/>
  <c r="AS26" i="11"/>
  <c r="AJ27" i="11"/>
  <c r="AO27" i="11"/>
  <c r="AS27" i="11"/>
  <c r="AJ28" i="11"/>
  <c r="AO28" i="11"/>
  <c r="AS28" i="11"/>
  <c r="AJ29" i="11"/>
  <c r="AO29" i="11"/>
  <c r="AS29" i="11"/>
  <c r="AJ30" i="11"/>
  <c r="AO30" i="11"/>
  <c r="AS30" i="11"/>
  <c r="AJ31" i="11"/>
  <c r="AO31" i="11"/>
  <c r="AS31" i="11"/>
  <c r="AJ32" i="11"/>
  <c r="AO32" i="11"/>
  <c r="AS32" i="11"/>
  <c r="AJ33" i="11"/>
  <c r="AO33" i="11"/>
  <c r="AS33" i="11"/>
  <c r="AJ34" i="11"/>
  <c r="AO34" i="11"/>
  <c r="AS34" i="11"/>
  <c r="AJ35" i="11"/>
  <c r="AO35" i="11"/>
  <c r="AS35" i="11"/>
  <c r="AJ36" i="11"/>
  <c r="AO36" i="11"/>
  <c r="AS36" i="11"/>
  <c r="AJ37" i="11"/>
  <c r="AO37" i="11"/>
  <c r="AS37" i="11"/>
  <c r="AJ38" i="11"/>
  <c r="AO38" i="11"/>
  <c r="AS38" i="11"/>
  <c r="AJ39" i="11"/>
  <c r="AO39" i="11"/>
  <c r="AS39" i="11"/>
  <c r="AJ40" i="11"/>
  <c r="AO40" i="11"/>
  <c r="AS40" i="11"/>
  <c r="AJ41" i="11"/>
  <c r="AO41" i="11"/>
  <c r="AS41" i="11"/>
  <c r="AJ42" i="11"/>
  <c r="AO42" i="11"/>
  <c r="AS42" i="11"/>
  <c r="AJ43" i="11"/>
  <c r="AO43" i="11"/>
  <c r="AS43" i="11"/>
  <c r="AJ44" i="11"/>
  <c r="AO44" i="11"/>
  <c r="AS44" i="11"/>
  <c r="AJ45" i="11"/>
  <c r="AO45" i="11"/>
  <c r="AS45" i="11"/>
  <c r="AJ46" i="11"/>
  <c r="AO46" i="11"/>
  <c r="AS46" i="11"/>
  <c r="AJ47" i="11"/>
  <c r="AO47" i="11"/>
  <c r="AS47" i="11"/>
  <c r="AJ48" i="11"/>
  <c r="AO48" i="11"/>
  <c r="AS48" i="11"/>
  <c r="AJ49" i="11"/>
  <c r="AO49" i="11"/>
  <c r="AS49" i="11"/>
  <c r="AJ50" i="11"/>
  <c r="AO50" i="11"/>
  <c r="AS50" i="11"/>
  <c r="AJ51" i="11"/>
  <c r="AO51" i="11"/>
  <c r="AS51" i="11"/>
  <c r="AJ52" i="11"/>
  <c r="AO52" i="11"/>
  <c r="AS52" i="11"/>
  <c r="AJ53" i="11"/>
  <c r="AO53" i="11"/>
  <c r="AS53" i="11"/>
  <c r="AJ54" i="11"/>
  <c r="AO54" i="11"/>
  <c r="AS54" i="11"/>
  <c r="AJ55" i="11"/>
  <c r="AO55" i="11"/>
  <c r="AS55" i="11"/>
  <c r="AJ56" i="11"/>
  <c r="AO56" i="11"/>
  <c r="AS56" i="11"/>
  <c r="AJ57" i="11"/>
  <c r="AO57" i="11"/>
  <c r="AS57" i="11"/>
  <c r="AJ58" i="11"/>
  <c r="AO58" i="11"/>
  <c r="AS58" i="11"/>
  <c r="AJ59" i="11"/>
  <c r="AO59" i="11"/>
  <c r="AS59" i="11"/>
  <c r="AJ60" i="11"/>
  <c r="AO60" i="11"/>
  <c r="AS60" i="11"/>
  <c r="AJ61" i="11"/>
  <c r="AO61" i="11"/>
  <c r="AS61" i="11"/>
  <c r="AJ62" i="11"/>
  <c r="AO62" i="11"/>
  <c r="AS62" i="11"/>
  <c r="AJ63" i="11"/>
  <c r="AO63" i="11"/>
  <c r="AS63" i="11"/>
  <c r="AJ64" i="11"/>
  <c r="AO64" i="11"/>
  <c r="AS64" i="11"/>
  <c r="AJ65" i="11"/>
  <c r="AO65" i="11"/>
  <c r="AS65" i="11"/>
  <c r="AJ66" i="11"/>
  <c r="AO66" i="11"/>
  <c r="AS66" i="11"/>
  <c r="AJ67" i="11"/>
  <c r="AO67" i="11"/>
  <c r="AS67" i="11"/>
  <c r="AJ68" i="11"/>
  <c r="AO68" i="11"/>
  <c r="AS68" i="11"/>
  <c r="AJ69" i="11"/>
  <c r="AO69" i="11"/>
  <c r="AS69" i="11"/>
  <c r="AJ70" i="11"/>
  <c r="AO70" i="11"/>
  <c r="AS70" i="11"/>
  <c r="AJ71" i="11"/>
  <c r="AO71" i="11"/>
  <c r="AS71" i="11"/>
  <c r="AJ72" i="11"/>
  <c r="AO72" i="11"/>
  <c r="AS72" i="11"/>
  <c r="AJ73" i="11"/>
  <c r="AO73" i="11"/>
  <c r="AS73" i="11"/>
  <c r="AJ74" i="11"/>
  <c r="AO74" i="11"/>
  <c r="AS74" i="11"/>
  <c r="AJ75" i="11"/>
  <c r="AO75" i="11"/>
  <c r="AS75" i="11"/>
  <c r="AJ76" i="11"/>
  <c r="AO76" i="11"/>
  <c r="AS76" i="11"/>
  <c r="AJ77" i="11"/>
  <c r="AO77" i="11"/>
  <c r="AS77" i="11"/>
  <c r="AJ78" i="11"/>
  <c r="AO78" i="11"/>
  <c r="AS78" i="11"/>
  <c r="AJ79" i="11"/>
  <c r="AO79" i="11"/>
  <c r="AS79" i="11"/>
  <c r="AJ80" i="11"/>
  <c r="AO80" i="11"/>
  <c r="AS80" i="11"/>
  <c r="AJ81" i="11"/>
  <c r="AO81" i="11"/>
  <c r="AS81" i="11"/>
  <c r="AJ82" i="11"/>
  <c r="AO82" i="11"/>
  <c r="AS82" i="11"/>
  <c r="AJ83" i="11"/>
  <c r="AO83" i="11"/>
  <c r="AS83" i="11"/>
  <c r="AJ84" i="11"/>
  <c r="AO84" i="11"/>
  <c r="AS84" i="11"/>
  <c r="AJ85" i="11"/>
  <c r="AO85" i="11"/>
  <c r="AS85" i="11"/>
  <c r="AJ86" i="11"/>
  <c r="AO86" i="11"/>
  <c r="AS86" i="11"/>
  <c r="AJ87" i="11"/>
  <c r="AO87" i="11"/>
  <c r="AS87" i="11"/>
  <c r="AJ88" i="11"/>
  <c r="AO88" i="11"/>
  <c r="AS88" i="11"/>
  <c r="AJ89" i="11"/>
  <c r="AO89" i="11"/>
  <c r="AS89" i="11"/>
  <c r="AJ90" i="11"/>
  <c r="AO90" i="11"/>
  <c r="AS90" i="11"/>
  <c r="AJ91" i="11"/>
  <c r="AO91" i="11"/>
  <c r="AS91" i="11"/>
  <c r="AJ92" i="11"/>
  <c r="AO92" i="11"/>
  <c r="AS92" i="11"/>
  <c r="AJ93" i="11"/>
  <c r="AO93" i="11"/>
  <c r="AS93" i="11"/>
  <c r="AJ94" i="11"/>
  <c r="AO94" i="11"/>
  <c r="AS94" i="11"/>
  <c r="AJ95" i="11"/>
  <c r="AO95" i="11"/>
  <c r="AS95" i="11"/>
  <c r="AJ96" i="11"/>
  <c r="AO96" i="11"/>
  <c r="AS96" i="11"/>
  <c r="AJ97" i="11"/>
  <c r="AO97" i="11"/>
  <c r="AS97" i="11"/>
  <c r="AJ98" i="11"/>
  <c r="AO98" i="11"/>
  <c r="AS98" i="11"/>
  <c r="AJ99" i="11"/>
  <c r="AO99" i="11"/>
  <c r="AS99" i="11"/>
  <c r="AJ100" i="11"/>
  <c r="AO100" i="11"/>
  <c r="AS100" i="11"/>
  <c r="AJ101" i="11"/>
  <c r="AO101" i="11"/>
  <c r="AS101" i="11"/>
  <c r="AJ102" i="11"/>
  <c r="AO102" i="11"/>
  <c r="AS102" i="11"/>
  <c r="AJ103" i="11"/>
  <c r="AO103" i="11"/>
  <c r="AS103" i="11"/>
  <c r="AJ104" i="11"/>
  <c r="AO104" i="11"/>
  <c r="AS104" i="11"/>
  <c r="AJ105" i="11"/>
  <c r="AO105" i="11"/>
  <c r="AS105" i="11"/>
  <c r="AJ106" i="11"/>
  <c r="AO106" i="11"/>
  <c r="AS106" i="11"/>
  <c r="AJ107" i="11"/>
  <c r="AO107" i="11"/>
  <c r="AS107" i="11"/>
  <c r="AJ108" i="11"/>
  <c r="AO108" i="11"/>
  <c r="AS108" i="11"/>
  <c r="AJ109" i="11"/>
  <c r="AO109" i="11"/>
  <c r="AS109" i="11"/>
  <c r="AJ110" i="11"/>
  <c r="AO110" i="11"/>
  <c r="AS110" i="11"/>
  <c r="AJ111" i="11"/>
  <c r="AO111" i="11"/>
  <c r="AS111" i="11"/>
  <c r="AJ112" i="11"/>
  <c r="AO112" i="11"/>
  <c r="AS112" i="11"/>
  <c r="AJ113" i="11"/>
  <c r="AO113" i="11"/>
  <c r="AS113" i="11"/>
  <c r="AJ114" i="11"/>
  <c r="AO114" i="11"/>
  <c r="AS114" i="11"/>
  <c r="AJ115" i="11"/>
  <c r="AO115" i="11"/>
  <c r="AS115" i="11"/>
  <c r="AJ116" i="11"/>
  <c r="AO116" i="11"/>
  <c r="AS116" i="11"/>
  <c r="AS119" i="11"/>
  <c r="AR119" i="11"/>
  <c r="AH20" i="11"/>
  <c r="AM20" i="11"/>
  <c r="AQ20" i="11"/>
  <c r="AH21" i="11"/>
  <c r="AM21" i="11"/>
  <c r="AQ21" i="11"/>
  <c r="AH22" i="11"/>
  <c r="AM22" i="11"/>
  <c r="AQ22" i="11"/>
  <c r="AH23" i="11"/>
  <c r="AM23" i="11"/>
  <c r="AQ23" i="11"/>
  <c r="AH24" i="11"/>
  <c r="AM24" i="11"/>
  <c r="AQ24" i="11"/>
  <c r="AQ119" i="11"/>
  <c r="AO119" i="11"/>
  <c r="AN119" i="11"/>
  <c r="AM119" i="11"/>
  <c r="AL119" i="11"/>
  <c r="AJ119" i="11"/>
  <c r="AI119" i="11"/>
  <c r="AH119" i="11"/>
  <c r="AG119" i="11"/>
  <c r="AE119" i="11"/>
  <c r="AD119" i="11"/>
  <c r="AB119" i="11"/>
  <c r="AA119" i="11"/>
  <c r="X119" i="11"/>
  <c r="T119" i="11"/>
  <c r="R119" i="11"/>
  <c r="Q119" i="11"/>
  <c r="P119" i="11"/>
  <c r="O119" i="11"/>
  <c r="N119" i="11"/>
  <c r="M119" i="11"/>
  <c r="L119" i="11"/>
  <c r="K119" i="11"/>
  <c r="J119" i="11"/>
  <c r="I119" i="11"/>
  <c r="H119" i="11"/>
  <c r="G70" i="11"/>
  <c r="G109" i="11"/>
  <c r="G119" i="11"/>
  <c r="E119" i="11"/>
  <c r="D119" i="11"/>
  <c r="BE117" i="11"/>
  <c r="BD117" i="11"/>
  <c r="BC117" i="11"/>
  <c r="BB117" i="11"/>
  <c r="BA117" i="11"/>
  <c r="AY117" i="11"/>
  <c r="AS117" i="11"/>
  <c r="AR117" i="11"/>
  <c r="AQ117" i="11"/>
  <c r="AO117" i="11"/>
  <c r="AN117" i="11"/>
  <c r="AM117" i="11"/>
  <c r="AL117" i="11"/>
  <c r="AJ117" i="11"/>
  <c r="AI117" i="11"/>
  <c r="AH117" i="11"/>
  <c r="AG117" i="11"/>
  <c r="AE117" i="11"/>
  <c r="AD117" i="11"/>
  <c r="AB117" i="11"/>
  <c r="AA117" i="11"/>
  <c r="Z117" i="11"/>
  <c r="Y117" i="11"/>
  <c r="T117" i="11"/>
  <c r="R117" i="11"/>
  <c r="Q117" i="11"/>
  <c r="P117" i="11"/>
  <c r="O117" i="11"/>
  <c r="N117" i="11"/>
  <c r="L117" i="11"/>
  <c r="K117" i="11"/>
  <c r="J117" i="11"/>
  <c r="I117" i="11"/>
  <c r="H117" i="11"/>
  <c r="G117" i="11"/>
  <c r="AJ18" i="11"/>
  <c r="AI18" i="11"/>
  <c r="AH18" i="11"/>
  <c r="AH15" i="11"/>
  <c r="E42" i="6"/>
  <c r="B46" i="6"/>
  <c r="B54" i="6"/>
  <c r="B47" i="6"/>
  <c r="D47" i="6"/>
  <c r="D54" i="6"/>
  <c r="C54" i="6"/>
  <c r="B48" i="6"/>
  <c r="C48" i="6"/>
  <c r="D48" i="6"/>
  <c r="B49" i="6"/>
  <c r="C49" i="6"/>
  <c r="D49" i="6"/>
  <c r="B50" i="6"/>
  <c r="D50" i="6"/>
  <c r="D51" i="6"/>
  <c r="E51" i="6"/>
  <c r="B51" i="6"/>
  <c r="B21" i="6"/>
  <c r="B22" i="6"/>
  <c r="D22" i="6"/>
  <c r="D29" i="6"/>
  <c r="B29" i="6"/>
  <c r="C29" i="6"/>
  <c r="C35" i="6"/>
  <c r="B34" i="6"/>
  <c r="B33" i="6"/>
  <c r="C23" i="6"/>
  <c r="B23" i="6"/>
  <c r="D23" i="6"/>
  <c r="C24" i="6"/>
  <c r="B24" i="6"/>
  <c r="D24" i="6"/>
  <c r="B25" i="6"/>
  <c r="D25" i="6"/>
  <c r="D26" i="6"/>
  <c r="E26" i="6"/>
  <c r="E15" i="6"/>
  <c r="B26" i="6"/>
  <c r="B35" i="6"/>
  <c r="D35" i="6"/>
  <c r="C36" i="6"/>
  <c r="B36" i="6"/>
  <c r="D36" i="6"/>
  <c r="C37" i="6"/>
  <c r="B37" i="6"/>
  <c r="D37" i="6"/>
  <c r="B38" i="6"/>
  <c r="D38" i="6"/>
  <c r="D39" i="6"/>
  <c r="B39" i="6"/>
  <c r="E74" i="6"/>
  <c r="E75" i="6"/>
  <c r="K8" i="6"/>
  <c r="B30" i="2"/>
  <c r="B34" i="2"/>
  <c r="B19" i="2"/>
  <c r="B35" i="2"/>
  <c r="B37" i="2"/>
  <c r="B8" i="2"/>
  <c r="D8" i="2"/>
  <c r="F13" i="2"/>
  <c r="D30" i="2"/>
  <c r="D46" i="2"/>
  <c r="B46" i="2"/>
  <c r="B51" i="2"/>
  <c r="B50" i="2"/>
  <c r="B52" i="2"/>
  <c r="C46" i="2"/>
  <c r="C52" i="2"/>
  <c r="D52" i="2"/>
  <c r="B53" i="2"/>
  <c r="C53" i="2"/>
  <c r="D53" i="2"/>
  <c r="B54" i="2"/>
  <c r="C54" i="2"/>
  <c r="D54" i="2"/>
  <c r="B55" i="2"/>
  <c r="D55" i="2"/>
  <c r="D56" i="2"/>
  <c r="B36" i="2"/>
  <c r="C30" i="2"/>
  <c r="C36" i="2"/>
  <c r="D36" i="2"/>
  <c r="C37" i="2"/>
  <c r="D37" i="2"/>
  <c r="B38" i="2"/>
  <c r="C38" i="2"/>
  <c r="D38" i="2"/>
  <c r="B39" i="2"/>
  <c r="D39" i="2"/>
  <c r="D40" i="2"/>
  <c r="F56" i="2"/>
  <c r="B56" i="2"/>
  <c r="B18" i="2"/>
  <c r="B20" i="2"/>
  <c r="D20" i="2"/>
  <c r="B21" i="2"/>
  <c r="C21" i="2"/>
  <c r="D21" i="2"/>
  <c r="B22" i="2"/>
  <c r="C22" i="2"/>
  <c r="D22" i="2"/>
  <c r="B23" i="2"/>
  <c r="D23" i="2"/>
  <c r="D24" i="2"/>
  <c r="F40" i="2"/>
  <c r="F11" i="2"/>
  <c r="F12" i="2"/>
  <c r="O53" i="3"/>
  <c r="O121" i="3"/>
  <c r="O119" i="3"/>
  <c r="O115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46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25" i="3"/>
  <c r="E26" i="3"/>
  <c r="E27" i="3"/>
  <c r="E28" i="3"/>
  <c r="E29" i="3"/>
  <c r="E21" i="3"/>
  <c r="E22" i="3"/>
  <c r="E23" i="3"/>
  <c r="E24" i="3"/>
  <c r="E20" i="3"/>
  <c r="E78" i="6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54" i="3"/>
  <c r="M54" i="3"/>
  <c r="L25" i="3"/>
  <c r="L26" i="3"/>
  <c r="L27" i="3"/>
  <c r="L28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M25" i="3"/>
  <c r="M26" i="3"/>
  <c r="M27" i="3"/>
  <c r="M28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P53" i="3"/>
  <c r="E79" i="6"/>
  <c r="E80" i="6"/>
  <c r="E81" i="6"/>
  <c r="E82" i="6"/>
  <c r="E83" i="6"/>
  <c r="E84" i="6"/>
  <c r="E85" i="6"/>
  <c r="E86" i="6"/>
  <c r="E87" i="6"/>
  <c r="E89" i="6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19" i="3"/>
  <c r="E76" i="6"/>
  <c r="E77" i="6"/>
  <c r="N176" i="5"/>
  <c r="N109" i="5"/>
  <c r="N94" i="5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C191" i="1"/>
  <c r="AC124" i="1"/>
  <c r="AC109" i="1"/>
  <c r="W109" i="1"/>
  <c r="W124" i="1"/>
  <c r="K185" i="1"/>
  <c r="I176" i="5"/>
  <c r="J176" i="5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N191" i="1"/>
  <c r="C86" i="1"/>
  <c r="D86" i="1"/>
  <c r="N124" i="1"/>
  <c r="C85" i="1"/>
  <c r="D85" i="1"/>
  <c r="N109" i="1"/>
  <c r="C84" i="1"/>
  <c r="D84" i="1"/>
  <c r="AA191" i="1"/>
  <c r="Z190" i="1"/>
  <c r="AB190" i="1"/>
  <c r="Z189" i="1"/>
  <c r="AB189" i="1"/>
  <c r="Z188" i="1"/>
  <c r="AB188" i="1"/>
  <c r="Z187" i="1"/>
  <c r="AB187" i="1"/>
  <c r="Z186" i="1"/>
  <c r="AB186" i="1"/>
  <c r="Z185" i="1"/>
  <c r="AB185" i="1"/>
  <c r="Z184" i="1"/>
  <c r="AB184" i="1"/>
  <c r="Z183" i="1"/>
  <c r="AB183" i="1"/>
  <c r="Z182" i="1"/>
  <c r="AB182" i="1"/>
  <c r="Z181" i="1"/>
  <c r="AB181" i="1"/>
  <c r="Z180" i="1"/>
  <c r="AB180" i="1"/>
  <c r="Z179" i="1"/>
  <c r="AB179" i="1"/>
  <c r="Z178" i="1"/>
  <c r="AB178" i="1"/>
  <c r="Z177" i="1"/>
  <c r="AB177" i="1"/>
  <c r="Z176" i="1"/>
  <c r="AB176" i="1"/>
  <c r="Z175" i="1"/>
  <c r="AB175" i="1"/>
  <c r="Z174" i="1"/>
  <c r="AB174" i="1"/>
  <c r="Z173" i="1"/>
  <c r="AB173" i="1"/>
  <c r="Z172" i="1"/>
  <c r="AB172" i="1"/>
  <c r="Z171" i="1"/>
  <c r="AB171" i="1"/>
  <c r="Z170" i="1"/>
  <c r="AB170" i="1"/>
  <c r="Z169" i="1"/>
  <c r="AB169" i="1"/>
  <c r="Z168" i="1"/>
  <c r="AB168" i="1"/>
  <c r="Z167" i="1"/>
  <c r="AB167" i="1"/>
  <c r="Z166" i="1"/>
  <c r="AB166" i="1"/>
  <c r="Z165" i="1"/>
  <c r="AB165" i="1"/>
  <c r="Z164" i="1"/>
  <c r="AB164" i="1"/>
  <c r="Z163" i="1"/>
  <c r="AB163" i="1"/>
  <c r="Z162" i="1"/>
  <c r="AB162" i="1"/>
  <c r="Z161" i="1"/>
  <c r="AB161" i="1"/>
  <c r="Z160" i="1"/>
  <c r="AB160" i="1"/>
  <c r="Z159" i="1"/>
  <c r="AB159" i="1"/>
  <c r="Z158" i="1"/>
  <c r="AB158" i="1"/>
  <c r="Z157" i="1"/>
  <c r="AB157" i="1"/>
  <c r="Z156" i="1"/>
  <c r="AB156" i="1"/>
  <c r="Z155" i="1"/>
  <c r="AB155" i="1"/>
  <c r="Z154" i="1"/>
  <c r="AB154" i="1"/>
  <c r="Z153" i="1"/>
  <c r="AB153" i="1"/>
  <c r="Z152" i="1"/>
  <c r="AB152" i="1"/>
  <c r="Z151" i="1"/>
  <c r="AB151" i="1"/>
  <c r="Z150" i="1"/>
  <c r="AB150" i="1"/>
  <c r="Z149" i="1"/>
  <c r="AB149" i="1"/>
  <c r="Z148" i="1"/>
  <c r="AB148" i="1"/>
  <c r="Z147" i="1"/>
  <c r="AB147" i="1"/>
  <c r="Z146" i="1"/>
  <c r="AB146" i="1"/>
  <c r="Z145" i="1"/>
  <c r="AB145" i="1"/>
  <c r="Z144" i="1"/>
  <c r="AB144" i="1"/>
  <c r="Z143" i="1"/>
  <c r="AB143" i="1"/>
  <c r="Z142" i="1"/>
  <c r="AB142" i="1"/>
  <c r="Z141" i="1"/>
  <c r="AB141" i="1"/>
  <c r="Z140" i="1"/>
  <c r="AB140" i="1"/>
  <c r="Z139" i="1"/>
  <c r="AB139" i="1"/>
  <c r="Z138" i="1"/>
  <c r="AB138" i="1"/>
  <c r="Z137" i="1"/>
  <c r="AB137" i="1"/>
  <c r="Z136" i="1"/>
  <c r="AB136" i="1"/>
  <c r="Z135" i="1"/>
  <c r="AB135" i="1"/>
  <c r="Z134" i="1"/>
  <c r="AB134" i="1"/>
  <c r="Z133" i="1"/>
  <c r="AB133" i="1"/>
  <c r="Z132" i="1"/>
  <c r="AB132" i="1"/>
  <c r="Z131" i="1"/>
  <c r="AB131" i="1"/>
  <c r="Z130" i="1"/>
  <c r="AB130" i="1"/>
  <c r="Z129" i="1"/>
  <c r="AB129" i="1"/>
  <c r="Z128" i="1"/>
  <c r="AB128" i="1"/>
  <c r="Z127" i="1"/>
  <c r="AB127" i="1"/>
  <c r="Z126" i="1"/>
  <c r="AB126" i="1"/>
  <c r="Z125" i="1"/>
  <c r="AB125" i="1"/>
  <c r="Z124" i="1"/>
  <c r="AB124" i="1"/>
  <c r="Z123" i="1"/>
  <c r="AB123" i="1"/>
  <c r="Z122" i="1"/>
  <c r="AB122" i="1"/>
  <c r="Z121" i="1"/>
  <c r="AB121" i="1"/>
  <c r="Z120" i="1"/>
  <c r="AB120" i="1"/>
  <c r="Z119" i="1"/>
  <c r="AB119" i="1"/>
  <c r="Z118" i="1"/>
  <c r="AB118" i="1"/>
  <c r="Z117" i="1"/>
  <c r="AB117" i="1"/>
  <c r="Z116" i="1"/>
  <c r="AB116" i="1"/>
  <c r="Z115" i="1"/>
  <c r="AB115" i="1"/>
  <c r="Z114" i="1"/>
  <c r="AB114" i="1"/>
  <c r="Z113" i="1"/>
  <c r="AB113" i="1"/>
  <c r="Z112" i="1"/>
  <c r="AB112" i="1"/>
  <c r="Z111" i="1"/>
  <c r="AB111" i="1"/>
  <c r="Z110" i="1"/>
  <c r="AB110" i="1"/>
  <c r="Z109" i="1"/>
  <c r="AB109" i="1"/>
  <c r="Z108" i="1"/>
  <c r="AB108" i="1"/>
  <c r="Z107" i="1"/>
  <c r="AB107" i="1"/>
  <c r="Z106" i="1"/>
  <c r="AB106" i="1"/>
  <c r="Z105" i="1"/>
  <c r="AB105" i="1"/>
  <c r="Z104" i="1"/>
  <c r="AB104" i="1"/>
  <c r="Z103" i="1"/>
  <c r="AB103" i="1"/>
  <c r="Z102" i="1"/>
  <c r="AB102" i="1"/>
  <c r="Z101" i="1"/>
  <c r="AB101" i="1"/>
  <c r="Z100" i="1"/>
  <c r="AB100" i="1"/>
  <c r="Z99" i="1"/>
  <c r="AB99" i="1"/>
  <c r="Z98" i="1"/>
  <c r="AB98" i="1"/>
  <c r="Z97" i="1"/>
  <c r="AB97" i="1"/>
  <c r="Z96" i="1"/>
  <c r="AB96" i="1"/>
  <c r="Z95" i="1"/>
  <c r="AB95" i="1"/>
  <c r="Z94" i="1"/>
  <c r="AB94" i="1"/>
  <c r="L191" i="1"/>
  <c r="K190" i="1"/>
  <c r="M190" i="1"/>
  <c r="K189" i="1"/>
  <c r="M189" i="1"/>
  <c r="K188" i="1"/>
  <c r="M188" i="1"/>
  <c r="K187" i="1"/>
  <c r="M187" i="1"/>
  <c r="K186" i="1"/>
  <c r="M186" i="1"/>
  <c r="M185" i="1"/>
  <c r="K184" i="1"/>
  <c r="M184" i="1"/>
  <c r="K183" i="1"/>
  <c r="M183" i="1"/>
  <c r="K182" i="1"/>
  <c r="M182" i="1"/>
  <c r="K181" i="1"/>
  <c r="M181" i="1"/>
  <c r="K180" i="1"/>
  <c r="M180" i="1"/>
  <c r="K179" i="1"/>
  <c r="M179" i="1"/>
  <c r="K178" i="1"/>
  <c r="M178" i="1"/>
  <c r="K177" i="1"/>
  <c r="M177" i="1"/>
  <c r="K176" i="1"/>
  <c r="M176" i="1"/>
  <c r="K175" i="1"/>
  <c r="M175" i="1"/>
  <c r="K174" i="1"/>
  <c r="M174" i="1"/>
  <c r="K173" i="1"/>
  <c r="M173" i="1"/>
  <c r="K172" i="1"/>
  <c r="M172" i="1"/>
  <c r="K171" i="1"/>
  <c r="M171" i="1"/>
  <c r="K170" i="1"/>
  <c r="M170" i="1"/>
  <c r="K169" i="1"/>
  <c r="M169" i="1"/>
  <c r="K168" i="1"/>
  <c r="M168" i="1"/>
  <c r="K167" i="1"/>
  <c r="M167" i="1"/>
  <c r="K166" i="1"/>
  <c r="M166" i="1"/>
  <c r="K165" i="1"/>
  <c r="M165" i="1"/>
  <c r="K164" i="1"/>
  <c r="M164" i="1"/>
  <c r="K163" i="1"/>
  <c r="M163" i="1"/>
  <c r="K162" i="1"/>
  <c r="M162" i="1"/>
  <c r="K161" i="1"/>
  <c r="M161" i="1"/>
  <c r="K160" i="1"/>
  <c r="M160" i="1"/>
  <c r="K159" i="1"/>
  <c r="M159" i="1"/>
  <c r="K158" i="1"/>
  <c r="M158" i="1"/>
  <c r="K157" i="1"/>
  <c r="M157" i="1"/>
  <c r="K156" i="1"/>
  <c r="M156" i="1"/>
  <c r="K155" i="1"/>
  <c r="M155" i="1"/>
  <c r="K154" i="1"/>
  <c r="M154" i="1"/>
  <c r="K153" i="1"/>
  <c r="M153" i="1"/>
  <c r="K152" i="1"/>
  <c r="M152" i="1"/>
  <c r="K151" i="1"/>
  <c r="M151" i="1"/>
  <c r="K150" i="1"/>
  <c r="M150" i="1"/>
  <c r="K149" i="1"/>
  <c r="M149" i="1"/>
  <c r="K148" i="1"/>
  <c r="M148" i="1"/>
  <c r="K147" i="1"/>
  <c r="M147" i="1"/>
  <c r="K146" i="1"/>
  <c r="M146" i="1"/>
  <c r="K145" i="1"/>
  <c r="M145" i="1"/>
  <c r="K144" i="1"/>
  <c r="M144" i="1"/>
  <c r="K143" i="1"/>
  <c r="M143" i="1"/>
  <c r="K142" i="1"/>
  <c r="M142" i="1"/>
  <c r="K141" i="1"/>
  <c r="M141" i="1"/>
  <c r="K140" i="1"/>
  <c r="M140" i="1"/>
  <c r="K139" i="1"/>
  <c r="M139" i="1"/>
  <c r="K138" i="1"/>
  <c r="M138" i="1"/>
  <c r="K137" i="1"/>
  <c r="M137" i="1"/>
  <c r="K136" i="1"/>
  <c r="M136" i="1"/>
  <c r="K135" i="1"/>
  <c r="M135" i="1"/>
  <c r="K134" i="1"/>
  <c r="M134" i="1"/>
  <c r="K133" i="1"/>
  <c r="M133" i="1"/>
  <c r="K132" i="1"/>
  <c r="M132" i="1"/>
  <c r="K131" i="1"/>
  <c r="M131" i="1"/>
  <c r="K130" i="1"/>
  <c r="M130" i="1"/>
  <c r="K129" i="1"/>
  <c r="M129" i="1"/>
  <c r="K128" i="1"/>
  <c r="M128" i="1"/>
  <c r="K127" i="1"/>
  <c r="M127" i="1"/>
  <c r="K126" i="1"/>
  <c r="M126" i="1"/>
  <c r="K125" i="1"/>
  <c r="M125" i="1"/>
  <c r="K124" i="1"/>
  <c r="M124" i="1"/>
  <c r="H124" i="1"/>
  <c r="K123" i="1"/>
  <c r="M123" i="1"/>
  <c r="K122" i="1"/>
  <c r="M122" i="1"/>
  <c r="K121" i="1"/>
  <c r="M121" i="1"/>
  <c r="K120" i="1"/>
  <c r="M120" i="1"/>
  <c r="K119" i="1"/>
  <c r="M119" i="1"/>
  <c r="K118" i="1"/>
  <c r="M118" i="1"/>
  <c r="K117" i="1"/>
  <c r="M117" i="1"/>
  <c r="K116" i="1"/>
  <c r="M116" i="1"/>
  <c r="K115" i="1"/>
  <c r="M115" i="1"/>
  <c r="K114" i="1"/>
  <c r="M114" i="1"/>
  <c r="K113" i="1"/>
  <c r="M113" i="1"/>
  <c r="K112" i="1"/>
  <c r="M112" i="1"/>
  <c r="K111" i="1"/>
  <c r="M111" i="1"/>
  <c r="K110" i="1"/>
  <c r="M110" i="1"/>
  <c r="K109" i="1"/>
  <c r="M109" i="1"/>
  <c r="H109" i="1"/>
  <c r="K108" i="1"/>
  <c r="M108" i="1"/>
  <c r="K107" i="1"/>
  <c r="M107" i="1"/>
  <c r="K106" i="1"/>
  <c r="M106" i="1"/>
  <c r="K105" i="1"/>
  <c r="M105" i="1"/>
  <c r="K104" i="1"/>
  <c r="M104" i="1"/>
  <c r="K103" i="1"/>
  <c r="M103" i="1"/>
  <c r="K102" i="1"/>
  <c r="M102" i="1"/>
  <c r="K101" i="1"/>
  <c r="M101" i="1"/>
  <c r="K100" i="1"/>
  <c r="M100" i="1"/>
  <c r="K99" i="1"/>
  <c r="M99" i="1"/>
  <c r="K98" i="1"/>
  <c r="M98" i="1"/>
  <c r="K97" i="1"/>
  <c r="M97" i="1"/>
  <c r="K96" i="1"/>
  <c r="M96" i="1"/>
  <c r="K95" i="1"/>
  <c r="M95" i="1"/>
  <c r="K94" i="1"/>
  <c r="M94" i="1"/>
  <c r="I56" i="1"/>
  <c r="L176" i="5"/>
  <c r="I61" i="1"/>
  <c r="L20" i="3"/>
  <c r="M20" i="3"/>
  <c r="L21" i="3"/>
  <c r="M21" i="3"/>
  <c r="L22" i="3"/>
  <c r="M22" i="3"/>
  <c r="L23" i="3"/>
  <c r="M23" i="3"/>
  <c r="M19" i="3"/>
  <c r="B40" i="2"/>
  <c r="B24" i="2"/>
  <c r="C61" i="2"/>
  <c r="E61" i="2"/>
  <c r="F60" i="2"/>
  <c r="F61" i="2"/>
  <c r="G61" i="2"/>
  <c r="H61" i="2"/>
  <c r="D61" i="2"/>
  <c r="I61" i="2"/>
  <c r="D7" i="2"/>
  <c r="J62" i="1"/>
  <c r="I62" i="1"/>
  <c r="J57" i="1"/>
  <c r="I57" i="1"/>
</calcChain>
</file>

<file path=xl/sharedStrings.xml><?xml version="1.0" encoding="utf-8"?>
<sst xmlns="http://schemas.openxmlformats.org/spreadsheetml/2006/main" count="1561" uniqueCount="734">
  <si>
    <t>Rapport Vérificatrice</t>
  </si>
  <si>
    <t>http://vgq.qc.ca/fr/fr_publications/fr_rapport-annuel/fr_2018-2019-juin2018/fr_Rapport2018-2019-PRINTEMPS-ChapREM.pdf</t>
  </si>
  <si>
    <t>Annexe F</t>
  </si>
  <si>
    <t>M passagers-km</t>
  </si>
  <si>
    <t>par année</t>
  </si>
  <si>
    <t xml:space="preserve">Steer Davies Gleave </t>
  </si>
  <si>
    <t xml:space="preserve">Réseau électrique métropolitain (REM) | Sommaire des prévisions d’achalandage du REM </t>
  </si>
  <si>
    <t>Version 2016</t>
  </si>
  <si>
    <t>au centre-ville</t>
  </si>
  <si>
    <t>Une seule station</t>
  </si>
  <si>
    <t>écart</t>
  </si>
  <si>
    <t>Version 2017</t>
  </si>
  <si>
    <t>Croissance long terme SDG</t>
  </si>
  <si>
    <t>CDPQ</t>
  </si>
  <si>
    <t>tarif</t>
  </si>
  <si>
    <t>Million $</t>
  </si>
  <si>
    <t>Achalandage</t>
  </si>
  <si>
    <t>de base / km -20%</t>
  </si>
  <si>
    <t>Prévu</t>
  </si>
  <si>
    <t>obtenu</t>
  </si>
  <si>
    <t>Nombre de passager-km obtenu multiplié selon le tarifs modulés selon plafonnement des passager-km prévus</t>
  </si>
  <si>
    <t>de base / km</t>
  </si>
  <si>
    <t>Équivalent tarifs usagers</t>
  </si>
  <si>
    <t>Premier 115 %</t>
  </si>
  <si>
    <t>De 115% à 140%</t>
  </si>
  <si>
    <t>De 140% et +</t>
  </si>
  <si>
    <t>Total</t>
  </si>
  <si>
    <t xml:space="preserve"> passagers-km</t>
  </si>
  <si>
    <t xml:space="preserve">Millions de </t>
  </si>
  <si>
    <t>(millions $)</t>
  </si>
  <si>
    <t>Au dela de 140%</t>
  </si>
  <si>
    <t xml:space="preserve">1. Une croissance annuelle de 0,4 % est prévue pour l’achalandage projeté à partir de 2042. </t>
  </si>
  <si>
    <t>De 100% à 115%</t>
  </si>
  <si>
    <t xml:space="preserve">Facturation </t>
  </si>
  <si>
    <t>Entente secrète CDPQ-Infra-ARTM dévoilé</t>
  </si>
  <si>
    <t>ENTENTE CONCERNANT LA GESTION ET LA RÉALISATION DU RÉSEAU EXPRESS MÉTROPOLITAIN</t>
  </si>
  <si>
    <t>https://rem.info/sites/default/files/document/2018-04-23-SommaireFR-EntenteFR.pdf</t>
  </si>
  <si>
    <t>AGREEMENT RESPECTING THE MANAGEMENT AND IMPLEMENTATION OF THE RÉSEAU EXPRESS MÉTROPOLITAIN </t>
  </si>
  <si>
    <t>March 22, 2018 </t>
  </si>
  <si>
    <t>https://rem.info/sites/default/files/document/2018-04-23-SommaireFR-EntenteEN.pdf</t>
  </si>
  <si>
    <t>Entente d’intégration Projet REM Annexe F - Page 67 (142 de 202)</t>
  </si>
  <si>
    <t xml:space="preserve">Croissance de l'achalandage selon </t>
  </si>
  <si>
    <t>chiffres CDPQ-Infra</t>
  </si>
  <si>
    <t>Année</t>
  </si>
  <si>
    <t xml:space="preserve">Chiffres journalier, annuel et km-passager annuel selon CDPQ-Infra DA97.1.1_Steer Davies Gleave page 54
</t>
  </si>
  <si>
    <t>www.bape.gouv.qc.ca/sections/mandats/Reseau_electrique_métropolitain/documents/DA97.1.1.pdf</t>
  </si>
  <si>
    <r>
      <t xml:space="preserve">(1) </t>
    </r>
    <r>
      <rPr>
        <b/>
        <sz val="10"/>
        <color theme="1"/>
        <rFont val="Arial"/>
      </rPr>
      <t xml:space="preserve">Une croissance annuelle de 0,4 % est prévue pour l’achalandage projeté à partir de 2042. </t>
    </r>
  </si>
  <si>
    <t>L'Entente prévois beaucoup plus de d'usager que ces estimations</t>
  </si>
  <si>
    <t xml:space="preserve">* 4.1.3  En cas de besoin de réinvestissement et si l’achalandage réel en Passagers-kilomètres d’une année dépasse 140% de l’achalandage prévu au Scénario de base d’achalandage projeté pour l’année concernée, </t>
  </si>
  <si>
    <r>
      <t>Projetco peut demander que soit examiné par le Ministre, l’Autorité et Projetco l’opportunité d’un rééquilibrage économique et financier du Projet afin de permettre d’</t>
    </r>
    <r>
      <rPr>
        <u/>
        <sz val="12"/>
        <color theme="1"/>
        <rFont val="Calibri"/>
        <scheme val="minor"/>
      </rPr>
      <t>ajuster la capacité du REM d’un point de vue opérationnel</t>
    </r>
    <r>
      <rPr>
        <sz val="12"/>
        <color theme="1"/>
        <rFont val="Calibri"/>
        <family val="2"/>
        <scheme val="minor"/>
      </rPr>
      <t xml:space="preserve">. </t>
    </r>
  </si>
  <si>
    <t xml:space="preserve">Entente d’intégration </t>
  </si>
  <si>
    <t xml:space="preserve">Projet REM Page 24 </t>
  </si>
  <si>
    <r>
      <rPr>
        <b/>
        <sz val="12"/>
        <color theme="1"/>
        <rFont val="Calibri"/>
        <family val="2"/>
        <scheme val="minor"/>
      </rPr>
      <t>Deux</t>
    </r>
    <r>
      <rPr>
        <sz val="12"/>
        <color theme="1"/>
        <rFont val="Calibri"/>
        <family val="2"/>
        <scheme val="minor"/>
      </rPr>
      <t xml:space="preserve"> stations</t>
    </r>
  </si>
  <si>
    <t>estimé</t>
  </si>
  <si>
    <r>
      <t>Etude Novembre 2016 (</t>
    </r>
    <r>
      <rPr>
        <b/>
        <sz val="12"/>
        <color theme="1"/>
        <rFont val="Calibri"/>
        <family val="2"/>
        <scheme val="minor"/>
      </rPr>
      <t>avec une seule station au centre-ville: Gare Centrale)</t>
    </r>
  </si>
  <si>
    <t xml:space="preserve">Paragraphe 150 </t>
  </si>
  <si>
    <t>Cette affirmation du:</t>
  </si>
  <si>
    <t>rapport de l a vérificatrice</t>
  </si>
  <si>
    <t>est fausse:</t>
  </si>
  <si>
    <t xml:space="preserve">Ces revenus seront financés par les tarifs que l’ARTM appliquera sur les titres de transport et par une contribution des municipalités de 30 millions de dollars. </t>
  </si>
  <si>
    <t>85% du déficit d'exploitation du REM sera payé par le gouvernement du Québec et l'ensemble des citoyen du Québec Paragraphe 149</t>
  </si>
  <si>
    <t>Facturation</t>
  </si>
  <si>
    <t>à l'ARTM</t>
  </si>
  <si>
    <t xml:space="preserve">qui connaissent bien l’achalandage lié au transport en commun dans la région métropolitaine, </t>
  </si>
  <si>
    <t xml:space="preserve">Année </t>
  </si>
  <si>
    <t>Revenu</t>
  </si>
  <si>
    <t xml:space="preserve">passager </t>
  </si>
  <si>
    <t>(21 ¢/p-km)</t>
  </si>
  <si>
    <t>Déficit</t>
  </si>
  <si>
    <t>Millions $ 2021</t>
  </si>
  <si>
    <t>(72 ¢/p-km)</t>
  </si>
  <si>
    <t>Financement</t>
  </si>
  <si>
    <t>Municipalité</t>
  </si>
  <si>
    <t>30 M $ / an</t>
  </si>
  <si>
    <t>(milliards $)</t>
  </si>
  <si>
    <t>Québec</t>
  </si>
  <si>
    <r>
      <t xml:space="preserve">Paragraphe 35 </t>
    </r>
    <r>
      <rPr>
        <sz val="10"/>
        <color theme="1"/>
        <rFont val="DINOffc"/>
      </rPr>
      <t xml:space="preserve">La durée initiale de cette entente est de 99 ans à compter de la date d’entrée en vigueur soit le 22 mars 2018. </t>
    </r>
  </si>
  <si>
    <t>15 ans</t>
  </si>
  <si>
    <t xml:space="preserve">Total </t>
  </si>
  <si>
    <t>déficit</t>
  </si>
  <si>
    <t>gouv. Québec</t>
  </si>
  <si>
    <r>
      <t>"Lors de nos travaux relatifs aux revenus d’achalandage, nous nous sommes</t>
    </r>
    <r>
      <rPr>
        <b/>
        <sz val="12"/>
        <color theme="1"/>
        <rFont val="Calibri"/>
        <family val="2"/>
        <scheme val="minor"/>
      </rPr>
      <t xml:space="preserve"> assurés que les données d’achalandage saisies dans le modèle correspondent</t>
    </r>
  </si>
  <si>
    <r>
      <rPr>
        <b/>
        <sz val="12"/>
        <color theme="1"/>
        <rFont val="Calibri"/>
        <family val="2"/>
        <scheme val="minor"/>
      </rPr>
      <t>à celles déterminées par SDG</t>
    </r>
    <r>
      <rPr>
        <sz val="12"/>
        <color theme="1"/>
        <rFont val="Calibri"/>
        <family val="2"/>
        <scheme val="minor"/>
      </rPr>
      <t xml:space="preserve">. Ces données pour chacune des années, sauf 2021, sont les mêmes que celles présentées dans le scénario de base de l’annexe F.
</t>
    </r>
  </si>
  <si>
    <t>kilomètre-passagers</t>
  </si>
  <si>
    <t>Millions pass-km</t>
  </si>
  <si>
    <t>passagers-km</t>
  </si>
  <si>
    <t>millions</t>
  </si>
  <si>
    <t xml:space="preserve"> par le tarif de 0,72 dollar indexé annuellement. Nous considérons que l’achalandage constitue l’hypothèse la plus importante du modèle et l’élément clé du succès du REM."</t>
  </si>
  <si>
    <r>
      <rPr>
        <sz val="12"/>
        <color theme="1"/>
        <rFont val="Calibri"/>
        <family val="2"/>
        <scheme val="minor"/>
      </rPr>
      <t>Revenus d’achalandage Paragraphe 137</t>
    </r>
    <r>
      <rPr>
        <i/>
        <sz val="12"/>
        <color theme="1"/>
        <rFont val="Calibri"/>
        <scheme val="minor"/>
      </rPr>
      <t xml:space="preserve"> "Dans le modèle, les revenus d’achalandage sont obtenus en multipliant les estimations d’achalandage, exprimées en passager­kilomètre,</t>
    </r>
  </si>
  <si>
    <t>Il est donc imporant d'avoir de bonnes prévisions pour évaluer l'impact sur les finances de l'Autorité régionale de transport métropolitain (ARTM) et celle du Québec car il paiera 85% de la facture.</t>
  </si>
  <si>
    <r>
      <t xml:space="preserve">En acceptant les chiffres de l'Entente, le gouvernement du Qubec paiera les déficit d'exploitation du REM pour </t>
    </r>
    <r>
      <rPr>
        <b/>
        <sz val="12"/>
        <color theme="1"/>
        <rFont val="Calibri"/>
        <family val="2"/>
        <scheme val="minor"/>
      </rPr>
      <t>3 milliards $ en 15 ans</t>
    </r>
    <r>
      <rPr>
        <sz val="12"/>
        <color theme="1"/>
        <rFont val="Calibri"/>
        <family val="2"/>
        <scheme val="minor"/>
      </rPr>
      <t>,</t>
    </r>
    <r>
      <rPr>
        <b/>
        <sz val="12"/>
        <color theme="1"/>
        <rFont val="Calibri"/>
        <family val="2"/>
        <scheme val="minor"/>
      </rPr>
      <t xml:space="preserve"> 9,1 milliards $</t>
    </r>
    <r>
      <rPr>
        <sz val="12"/>
        <color theme="1"/>
        <rFont val="Calibri"/>
        <family val="2"/>
        <scheme val="minor"/>
      </rPr>
      <t xml:space="preserve"> en 30 ans et</t>
    </r>
    <r>
      <rPr>
        <b/>
        <sz val="12"/>
        <color theme="1"/>
        <rFont val="Calibri"/>
        <family val="2"/>
        <scheme val="minor"/>
      </rPr>
      <t xml:space="preserve"> 25 milliard $</t>
    </r>
    <r>
      <rPr>
        <sz val="12"/>
        <color theme="1"/>
        <rFont val="Calibri"/>
        <family val="2"/>
        <scheme val="minor"/>
      </rPr>
      <t xml:space="preserve"> en 97 ans </t>
    </r>
  </si>
  <si>
    <t>En 15 ans</t>
  </si>
  <si>
    <t>En 30 ans</t>
  </si>
  <si>
    <t>Total déficit</t>
  </si>
  <si>
    <t>en 15 ans</t>
  </si>
  <si>
    <t>en 97 ans</t>
  </si>
  <si>
    <t>En 97 ans</t>
  </si>
  <si>
    <t>Déficit d'opération à assumer par le gouvernement du Québec</t>
  </si>
  <si>
    <t xml:space="preserve">Paragraphe 149 "Les revenus d’achalandage seront perçus à partir de la mise en service commercial du premier segment. </t>
  </si>
  <si>
    <t>Le résiduel sera financé à hauteur de 85 % par le gouvernement du Québec et de 15 % par les municipalités."</t>
  </si>
  <si>
    <t>Contrairement à l'affirmation</t>
  </si>
  <si>
    <t>du document de la Vérificatrice</t>
  </si>
  <si>
    <t>les données d'achalandage s'éloigneront</t>
  </si>
  <si>
    <t xml:space="preserve">des prévisions de SDG avec une croissance de </t>
  </si>
  <si>
    <t>0,4 % plutôt que 0,8%</t>
  </si>
  <si>
    <t>Impacts des écarts entre les prévisions de SDG et ceux validées par l'équipe de la Vérificatrice.</t>
  </si>
  <si>
    <t>SDG</t>
  </si>
  <si>
    <t>Prévisions</t>
  </si>
  <si>
    <t>Prévision novembre 2016</t>
  </si>
  <si>
    <t>Prévisions SDG novembre 2016 avec 0,8 % de croisance sauf de 2021 à 2025 comme indiqué dans la vérification.</t>
  </si>
  <si>
    <t>Vérificatrice</t>
  </si>
  <si>
    <t>(milliard $ 2021)</t>
  </si>
  <si>
    <t>Selon Entente</t>
  </si>
  <si>
    <t>du REM et</t>
  </si>
  <si>
    <t>Etude SDG</t>
  </si>
  <si>
    <t>Nov. 2016</t>
  </si>
  <si>
    <t>Écart</t>
  </si>
  <si>
    <t>Financement du déficit d'opération</t>
  </si>
  <si>
    <t>non vu par la</t>
  </si>
  <si>
    <t>à partager</t>
  </si>
  <si>
    <t>30 ans</t>
  </si>
  <si>
    <t>97 ans</t>
  </si>
  <si>
    <t>en 30 ans</t>
  </si>
  <si>
    <t>Prévisions SDG février 2017 avec 0,8 % de croisance sauf de 2021 à 2025 comme indiqué dans la vérification.</t>
  </si>
  <si>
    <t>Prévision février 2017</t>
  </si>
  <si>
    <t>Chiffres corespondant à l'Étude d"achalandage de novembre 2016</t>
  </si>
  <si>
    <t>Chiffres corespondant à l'Étude d"achalandage de fevrier 2017</t>
  </si>
  <si>
    <t>Sommaire des prévisions d’achalandage du REM Février 2017</t>
  </si>
  <si>
    <t>https://www.cdpqinfra.com/sites/default/files/pdf/summary_rem_forecasting_fr_vf.pdf</t>
  </si>
  <si>
    <t>Copenhague</t>
  </si>
  <si>
    <t xml:space="preserve">Précedemment, nous avons démontré que les vérifications de la Vérificatrice étaient très aproximatives. </t>
  </si>
  <si>
    <t>Puisque qu'il y a d'importantes erreurs dans le rapport de la Vérificactrice, comparont les prévisions au contrat de 99 ans de l'Entente avec ce qui est obtenu dans d'autres villes avec des métro automatiques.</t>
  </si>
  <si>
    <t xml:space="preserve">Achalandage de Copenhague </t>
  </si>
  <si>
    <t>https://m.dk/#!/om+metroen/facts+om+metroen/statistik/passagertal</t>
  </si>
  <si>
    <t>Millions de passagers</t>
  </si>
  <si>
    <t>Croissance</t>
  </si>
  <si>
    <t>https://fr.wikipedia.org/wiki/Métro_de_Copenhague#Stations</t>
  </si>
  <si>
    <t>Entente</t>
  </si>
  <si>
    <t>Passsagers</t>
  </si>
  <si>
    <t>Pass-km</t>
  </si>
  <si>
    <t xml:space="preserve">Calculé </t>
  </si>
  <si>
    <t>15 km/pass.</t>
  </si>
  <si>
    <t>Moyenne 2009-2017</t>
  </si>
  <si>
    <t>Année d'exploitation</t>
  </si>
  <si>
    <t>60 millions de passagers, alors que le petit métro de Copenhague à atteint ce chiffre après 15 ans.</t>
  </si>
  <si>
    <t xml:space="preserve"> 30 ans</t>
  </si>
  <si>
    <t>Moyenne</t>
  </si>
  <si>
    <t>Moyenne 15 km/passager</t>
  </si>
  <si>
    <t>(millions)</t>
  </si>
  <si>
    <t>Vérification</t>
  </si>
  <si>
    <t xml:space="preserve"> x 1,444</t>
  </si>
  <si>
    <t xml:space="preserve">Maximun du REM après 97 année d'exploitation en selon l'Entente (validé par la Vérificatrice du Québec) </t>
  </si>
  <si>
    <t>Rapport Vérificatrice générale du Québec</t>
  </si>
  <si>
    <t>validé par</t>
  </si>
  <si>
    <t xml:space="preserve">Facturation de CDPQ-Infra à l’Autorité régionale de transport métropolitain (ARTM) </t>
  </si>
  <si>
    <t>selon annexe F</t>
  </si>
  <si>
    <t>2026-2055</t>
  </si>
  <si>
    <t>En échange, l'Autorité conserve les revenu passager (environ 21 cents/pas-km)</t>
  </si>
  <si>
    <t>Moyenne 30 ans</t>
  </si>
  <si>
    <t>Pourquoi 72 cents par passager-km?</t>
  </si>
  <si>
    <t>CDPQ-Infra investait (selon ses calculs) 3,1 milliards et exige 8% de rendement</t>
  </si>
  <si>
    <t>Cout d"exploitation (selon CDPQ-Infra) entretien et fonds de renouvellement (déduit)</t>
  </si>
  <si>
    <t>Revenu tiré de l'achalandage moyen de 659 M de pass-km ( estimé par CDPQ-Infra)</t>
  </si>
  <si>
    <t>¢ /pass-km requis</t>
  </si>
  <si>
    <t>Tarif à payer par l'ARTM en prenant la moyenne 30 ans de l'achalandage de l'tude SDG pour que CDPQ-Infra obtienne 475 M $</t>
  </si>
  <si>
    <t>Résultats avec 72 cents par pass-km</t>
  </si>
  <si>
    <t>Premiers 100%</t>
  </si>
  <si>
    <t xml:space="preserve"> (2026-2055)</t>
  </si>
  <si>
    <t>(plus de passagers pour le même 475M $)</t>
  </si>
  <si>
    <t>Test 50% + usagers</t>
  </si>
  <si>
    <t>Obtenu = x 1,5</t>
  </si>
  <si>
    <t>Si l'Entente avait utilisé les chiffres de SDG (nov. 2016), ce ne serait pas 72¢ / pass-km qui serait facturé pour obtenir 475 M $, mais 68 cents. Voir démonstration.</t>
  </si>
  <si>
    <t>Obtenu</t>
  </si>
  <si>
    <t>Achalandage moyen SDG version fév  2017</t>
  </si>
  <si>
    <t>Achalandage moyen SDG version nov 2016</t>
  </si>
  <si>
    <t>Écart avec Entente:</t>
  </si>
  <si>
    <t>Écart Entente:</t>
  </si>
  <si>
    <t>Croissance moyenne</t>
  </si>
  <si>
    <t>Formules</t>
  </si>
  <si>
    <r>
      <t xml:space="preserve">nous estimons que les prévisions d’achalandage produites par SDG sont </t>
    </r>
    <r>
      <rPr>
        <u/>
        <sz val="12"/>
        <color theme="1"/>
        <rFont val="Calibri"/>
        <scheme val="minor"/>
      </rPr>
      <t>réalistes,</t>
    </r>
    <r>
      <rPr>
        <sz val="12"/>
        <color theme="1"/>
        <rFont val="Calibri"/>
        <family val="2"/>
        <scheme val="minor"/>
      </rPr>
      <t xml:space="preserve"> mais conservatrices."</t>
    </r>
  </si>
  <si>
    <r>
      <t xml:space="preserve">Achalandage REM (selon CDPQ-INFRA) après 11 ans 650 M de passagers-km= </t>
    </r>
    <r>
      <rPr>
        <b/>
        <sz val="12"/>
        <color theme="1"/>
        <rFont val="Calibri"/>
        <family val="2"/>
        <scheme val="minor"/>
      </rPr>
      <t>43 millions</t>
    </r>
    <r>
      <rPr>
        <sz val="12"/>
        <color theme="1"/>
        <rFont val="Calibri"/>
        <family val="2"/>
        <scheme val="minor"/>
      </rPr>
      <t xml:space="preserve"> de passagers (15 km par passager en moyenne)</t>
    </r>
  </si>
  <si>
    <t>22 stations, dont 9 sont souterraines, sur un parcours total de 20,5 km avec dernier prolongement 2007-09-28 (Wikipedia)</t>
  </si>
  <si>
    <t>Le métro compte 34 rames, qui sont toutes automatisés et donc sans conducteur (chaque rame compte 3 voitures pour un total de 102 voitures). Total de 300 passagers dont 96 assis</t>
  </si>
  <si>
    <t>exploit.</t>
  </si>
  <si>
    <t>Comparaison REM autres systemes</t>
  </si>
  <si>
    <t>Prévu:</t>
  </si>
  <si>
    <t>Simulé:</t>
  </si>
  <si>
    <t>Hausse sur</t>
  </si>
  <si>
    <t>les prévisions</t>
  </si>
  <si>
    <t>16e année</t>
  </si>
  <si>
    <t>Prévu revisé</t>
  </si>
  <si>
    <t>CDPQ-Infra</t>
  </si>
  <si>
    <t>Si l'Entente avait utilisé les chiffres le petit métro de Copenhague, ce ne serait pas 72¢ / pass-km qui serait facturé pour obtenir 475 M $, mais 49 cents. Voir démonstration.</t>
  </si>
  <si>
    <t>Achalandage 16e année Copenhague</t>
  </si>
  <si>
    <t xml:space="preserve">Vérificatrice Paragraphe 144 "Selon des informations obtenues lors de nos rencontres avec les intervenants du secteur </t>
  </si>
  <si>
    <t>Aucune hausse sur le prévision avec l'achalandage revisé</t>
  </si>
  <si>
    <t>exploitation</t>
  </si>
  <si>
    <t>16e</t>
  </si>
  <si>
    <t>1er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</si>
  <si>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</si>
  <si>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</si>
  <si>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</si>
  <si>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</si>
  <si>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</si>
  <si>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</si>
  <si>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</si>
  <si>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</si>
  <si>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</si>
  <si>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</si>
  <si>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</si>
  <si>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</si>
  <si>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</si>
  <si>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</si>
  <si>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 xml:space="preserve">REM calculé </t>
  </si>
  <si>
    <t>(15 km/pass.)</t>
  </si>
  <si>
    <t>(millions</t>
  </si>
  <si>
    <t>(millions / an)</t>
  </si>
  <si>
    <t>pass.-km / an)</t>
  </si>
  <si>
    <t>Canada Line de Vancouver (propriété partienne de CDPQ)</t>
  </si>
  <si>
    <t>Staions</t>
  </si>
  <si>
    <t>REM du Grand Montréal</t>
  </si>
  <si>
    <t>station</t>
  </si>
  <si>
    <t xml:space="preserve">Si le grand métro REM avec deux fois plus de capacité (600 passagers par rame de métro) transport autant de passagers que le petit métro de Copenhague avec ses 300 passagers, </t>
  </si>
  <si>
    <t>Métro léger automatique de Copenhague</t>
  </si>
  <si>
    <t>Le métro léger automatique de Copenhague à été inauguré en 2002 et à aujourd'hui 22 stations, dont une ligne rejoignan l'aéroport.</t>
  </si>
  <si>
    <t>il transportera au minimum 63,5 M de passagers.</t>
  </si>
  <si>
    <t>passagers-km (moyenne de 15 km/ passager).</t>
  </si>
  <si>
    <t>Au delà de 140%</t>
  </si>
  <si>
    <t>Puisque que le REM à 2 fois plus de capacité de le métro de Copenhague, il pourrait transporter 2 fois 63,5 millions de passagers soit 127 millions de passagers</t>
  </si>
  <si>
    <t>Ainsi, les passagers du REM effecturaient à sa 16e année</t>
  </si>
  <si>
    <t>Minimum selon CDPQ-Infra</t>
  </si>
  <si>
    <t>pour un rendement de 8% pour CDPQ-Infra</t>
  </si>
  <si>
    <t>Passagers</t>
  </si>
  <si>
    <t>par station</t>
  </si>
  <si>
    <t>Lorsque qu'un passager de Deux-Montagnes se rend à la station McGill, il parcours 30 km, soit 30 km-passager ou 30 passagers-km</t>
  </si>
  <si>
    <t>Qu'est-ce qu'un passager-km (ou km-passager)</t>
  </si>
  <si>
    <t>Le REM (Réseau Express Métropolitain)</t>
  </si>
  <si>
    <t>26 stations dans le Grand Montréal sur 67 km</t>
  </si>
  <si>
    <t>http://www.lapresse.ca/affaires/economie/transports/201804/23/01-5162176-rem-la-caisse-engagee-pour-cinq-ans.php</t>
  </si>
  <si>
    <t>21 cents selon La Presse du 23 avril 2018</t>
  </si>
  <si>
    <t>L'Autorié paiera aux filliales de CDPQ  21,60$ pour le déplacement d'un seul usager effectuant 30 km.</t>
  </si>
  <si>
    <t xml:space="preserve">Firme Steer Davies Gleave </t>
  </si>
  <si>
    <t>La filiale de CDPQ, CDPQ-Infra est propriétaire du REM. Elle évalué avec la firme Steer Davies Gleave l'achalandage du REM en 2031 à 43 millions de passagers, soit 650 millions de passager-km.</t>
  </si>
  <si>
    <t>L'Autorité conservera les tarifs payés par les usagers (évalué à 21 cents dans région métropolitaine 2021)..</t>
  </si>
  <si>
    <t>Risque</t>
  </si>
  <si>
    <t>Municipalités
15%</t>
  </si>
  <si>
    <t>Cout d'exploitation estimé 
($ constant + 1'%)</t>
  </si>
  <si>
    <t>À partager aux prochaines étapes de rendement</t>
  </si>
  <si>
    <t>Excédent à partager entre CDPQ-Infra, Québec et Ottawa</t>
  </si>
  <si>
    <t>CDPQ-Infra
28%</t>
  </si>
  <si>
    <t>Québec
36%</t>
  </si>
  <si>
    <t>Ottawa
36%</t>
  </si>
  <si>
    <t>CDPQ-Infra
51%</t>
  </si>
  <si>
    <t>Québec
24,5 %</t>
  </si>
  <si>
    <t>Ottawa
24,5%</t>
  </si>
  <si>
    <t>Ottawa</t>
  </si>
  <si>
    <t>Rendement
CDPQ-Infra</t>
  </si>
  <si>
    <t>Autofinancement
usager (5)</t>
  </si>
  <si>
    <t>Québec
impact ($)</t>
  </si>
  <si>
    <t>Coût municipalités 
30 M + 15% du surcoit du REM</t>
  </si>
  <si>
    <t>Montréal
65%</t>
  </si>
  <si>
    <t>Longueuil
11,5 %</t>
  </si>
  <si>
    <t>Saint-Eustache
0,5 %</t>
  </si>
  <si>
    <t>Autres 23%</t>
  </si>
  <si>
    <t>Rendement Budget Fascicule TC, p 13</t>
  </si>
  <si>
    <t xml:space="preserve">1 étape: La Caisse "maître d’ouvrage du projet, bénéficiera d’un rendement prioritaire de 8,0 % sur son investissement" </t>
  </si>
  <si>
    <t>2e étape: en majorité aux gouvernements selon la formule 28/36/36 (CDPQ-Infra 28%, Québec et Ottawa 72%)</t>
  </si>
  <si>
    <t>( Ce taux est de 3,7 % pour le gouvernement du Québec.)</t>
  </si>
  <si>
    <t>Aide à l'exploitation / pass-km</t>
  </si>
  <si>
    <t xml:space="preserve">3e étape: La Caisse recevra ainsi 51 % des dividendes, tandis que les gouvernements du Québec et du Canada recevront chacun 24,5 % des dividendes. </t>
  </si>
  <si>
    <t>Aide à l'exploitation de base</t>
  </si>
  <si>
    <t>Actionnaires</t>
  </si>
  <si>
    <t>Investissement en capital-actions</t>
  </si>
  <si>
    <t xml:space="preserve">% de détention </t>
  </si>
  <si>
    <t xml:space="preserve">Aide reduite de 20% après 115% </t>
  </si>
  <si>
    <t>CDPQ Infra</t>
  </si>
  <si>
    <t>Budget du Québec 2018-2019 - Mobilité électrique p 50 http://www.budget.finances.gouv.qc.ca/budget/2018-2019/fr/documents/MobiliteElectrique_1819.pdf</t>
  </si>
  <si>
    <t>Aide après après 140%  de l'achalandage prévu</t>
  </si>
  <si>
    <t>Gouv. Québec</t>
  </si>
  <si>
    <t>Gouv. Canada</t>
  </si>
  <si>
    <t>Hydro-Québec</t>
  </si>
  <si>
    <t>ARTM Plus-val.</t>
  </si>
  <si>
    <t>1ère étape de distribution</t>
  </si>
  <si>
    <t>2e étape "versés majoritairement (72 %) aux actionnaires minoritaires"</t>
  </si>
  <si>
    <t>Colonne "q"</t>
  </si>
  <si>
    <t>taux est de 3,7 %</t>
  </si>
  <si>
    <t>Facture ARTM</t>
  </si>
  <si>
    <t>Équ. Revenu réel réalisé / pass-km</t>
  </si>
  <si>
    <t>3e étape "51 % CDPQ-I et 24,5 % deux gouvernement."</t>
  </si>
  <si>
    <t>Revenus totaux par partenaire</t>
  </si>
  <si>
    <t>Rendement</t>
  </si>
  <si>
    <t>Autofinancement</t>
  </si>
  <si>
    <t>Impact financier Québec</t>
  </si>
  <si>
    <t>À partager</t>
  </si>
  <si>
    <t>Quotes-parts des municipalités</t>
  </si>
  <si>
    <t>Nombre de km/pass /an obtenu</t>
  </si>
  <si>
    <t>Contributions municipales existantes de l'ordre de 
30 M$</t>
  </si>
  <si>
    <t>Coût additionnel du REM selon modulation des contribitions publiques</t>
  </si>
  <si>
    <t>Remboursement 600 M $ ARTM 
12 M$/an 50 ans</t>
  </si>
  <si>
    <t>CDPQ-Infra rendement prioritaire
de 8 %</t>
  </si>
  <si>
    <t>CDPQ-Infra 28%</t>
  </si>
  <si>
    <t xml:space="preserve">Québec 36% </t>
  </si>
  <si>
    <t xml:space="preserve">Ottawa 36% </t>
  </si>
  <si>
    <t>CDPQ-Infra 51%</t>
  </si>
  <si>
    <t>Québec 24,5%</t>
  </si>
  <si>
    <t>Ottawa 24,5%</t>
  </si>
  <si>
    <t>Revenus totaux CDPQ-Infra</t>
  </si>
  <si>
    <t>Revenus totaux Ottawa sur investissement</t>
  </si>
  <si>
    <t>Rendement  CDPQ-Infra</t>
  </si>
  <si>
    <t>Autofinancement:Usagers/revenus totaux du REM (sauf publicité)</t>
  </si>
  <si>
    <t>Moyenne / année:</t>
  </si>
  <si>
    <t>Hausse sur les prévisions CDPQ-Infra:</t>
  </si>
  <si>
    <t>par passager-km</t>
  </si>
  <si>
    <t>km-passager / jour</t>
  </si>
  <si>
    <t>facteur 292 jour/an</t>
  </si>
  <si>
    <t>passagers jour à 15 km en moyenne</t>
  </si>
  <si>
    <t>17e</t>
  </si>
  <si>
    <t>18e</t>
  </si>
  <si>
    <t>19e</t>
  </si>
  <si>
    <t>22e</t>
  </si>
  <si>
    <t>23e</t>
  </si>
  <si>
    <t>24e</t>
  </si>
  <si>
    <t>25e</t>
  </si>
  <si>
    <t>26e</t>
  </si>
  <si>
    <t>27e</t>
  </si>
  <si>
    <t>28e</t>
  </si>
  <si>
    <t>29e</t>
  </si>
  <si>
    <t>32e</t>
  </si>
  <si>
    <t>33e</t>
  </si>
  <si>
    <t>34e</t>
  </si>
  <si>
    <t>35e</t>
  </si>
  <si>
    <t>36e</t>
  </si>
  <si>
    <t>37e</t>
  </si>
  <si>
    <t>38e</t>
  </si>
  <si>
    <t>39e</t>
  </si>
  <si>
    <t>42e</t>
  </si>
  <si>
    <t>43e</t>
  </si>
  <si>
    <t>44e</t>
  </si>
  <si>
    <t>45e</t>
  </si>
  <si>
    <t>46e</t>
  </si>
  <si>
    <t>47e</t>
  </si>
  <si>
    <t>48e</t>
  </si>
  <si>
    <t>49e</t>
  </si>
  <si>
    <t>52e</t>
  </si>
  <si>
    <t>53e</t>
  </si>
  <si>
    <t>54e</t>
  </si>
  <si>
    <t>55e</t>
  </si>
  <si>
    <t>56e</t>
  </si>
  <si>
    <t>57e</t>
  </si>
  <si>
    <t>58e</t>
  </si>
  <si>
    <t>59e</t>
  </si>
  <si>
    <t>62e</t>
  </si>
  <si>
    <t>63e</t>
  </si>
  <si>
    <t>64e</t>
  </si>
  <si>
    <t>65e</t>
  </si>
  <si>
    <t>66e</t>
  </si>
  <si>
    <t>67e</t>
  </si>
  <si>
    <t>68e</t>
  </si>
  <si>
    <t>69e</t>
  </si>
  <si>
    <t>72e</t>
  </si>
  <si>
    <t>73e</t>
  </si>
  <si>
    <t>74e</t>
  </si>
  <si>
    <t>75e</t>
  </si>
  <si>
    <t>76e</t>
  </si>
  <si>
    <t>77e</t>
  </si>
  <si>
    <t>78e</t>
  </si>
  <si>
    <t>79e</t>
  </si>
  <si>
    <t>82e</t>
  </si>
  <si>
    <t>83e</t>
  </si>
  <si>
    <t>84e</t>
  </si>
  <si>
    <t>85e</t>
  </si>
  <si>
    <t>86e</t>
  </si>
  <si>
    <t>87e</t>
  </si>
  <si>
    <t>88e</t>
  </si>
  <si>
    <t>89e</t>
  </si>
  <si>
    <t>92e</t>
  </si>
  <si>
    <t>93e</t>
  </si>
  <si>
    <t>94e</t>
  </si>
  <si>
    <t>95e</t>
  </si>
  <si>
    <t>96e</t>
  </si>
  <si>
    <t>97e</t>
  </si>
  <si>
    <t>20e</t>
  </si>
  <si>
    <t>30e</t>
  </si>
  <si>
    <t>21e</t>
  </si>
  <si>
    <t>31e</t>
  </si>
  <si>
    <t>40e</t>
  </si>
  <si>
    <t>41e</t>
  </si>
  <si>
    <t>50e</t>
  </si>
  <si>
    <t>51e</t>
  </si>
  <si>
    <t>60e</t>
  </si>
  <si>
    <t>61e</t>
  </si>
  <si>
    <t>70e</t>
  </si>
  <si>
    <t>71e</t>
  </si>
  <si>
    <t>80e</t>
  </si>
  <si>
    <t>81e</t>
  </si>
  <si>
    <t>90e</t>
  </si>
  <si>
    <t>91e</t>
  </si>
  <si>
    <t>1ère</t>
  </si>
  <si>
    <t>km-passager /an</t>
  </si>
  <si>
    <t>Validation 2031:</t>
  </si>
  <si>
    <t>facteur 292 jour/an:</t>
  </si>
  <si>
    <t>Période pointe AM (25%):</t>
  </si>
  <si>
    <t>Passagers 3 heures</t>
  </si>
  <si>
    <t>Heure de pointe 33%</t>
  </si>
  <si>
    <t>Passagers heure deux direction</t>
  </si>
  <si>
    <t>Ligne Brossard (50%)</t>
  </si>
  <si>
    <t>Passagers heure une direction</t>
  </si>
  <si>
    <t>24 départs par heure. Capacité théorique d’une rame de métro du REM : 600 personnes : 14 400 pers / h</t>
  </si>
  <si>
    <t>de sa capacité avant réinvestissement prévu dans l'Entente du  22 mars 2018, p 13</t>
  </si>
  <si>
    <t>Validation 2119</t>
  </si>
  <si>
    <t>Entente du REM, 22 mars 2018, p 13 réinvestissement prévu pour accroitre la capacité du suystème pour répondre à l'achalandage</t>
  </si>
  <si>
    <t>limite / h / dir</t>
  </si>
  <si>
    <t xml:space="preserve">Toulouse à un départ toute le 1 minutes 05. Le REM avec ses aiguillages pourrait peut-être être restrein à </t>
  </si>
  <si>
    <t>2,5 millards km-pass : limite/an</t>
  </si>
  <si>
    <t>un départ toute les 1 minutes 30 secondes pour 40 départs / h = 24 000 pers/h</t>
  </si>
  <si>
    <t>8% de rendement sur 2,95 milliards</t>
  </si>
  <si>
    <t>Revenus REM 2031</t>
  </si>
  <si>
    <t>Facturation CDPQ-Infra</t>
  </si>
  <si>
    <t>Frais entretien déduit</t>
  </si>
  <si>
    <t>https://plenarygroup.com/assets/downloads/factsheets/plenary-NWRL-factsheet.pdf</t>
  </si>
  <si>
    <t>Comparaison avec contrat de Sydney pour 132 voitures, 15 year operations phase</t>
  </si>
  <si>
    <t>et la construction de 8 new metro stations, 5 upgraded stations + 36 km de voies</t>
  </si>
  <si>
    <t>Cette analyse de son rapport indique qu'elle à mal vérifier les données d'achalandage inscrite dans l'Entente (contrat) signé par le Ministre des transports du Québec.</t>
  </si>
  <si>
    <t>Facteur</t>
  </si>
  <si>
    <t xml:space="preserve">/REM par </t>
  </si>
  <si>
    <t>https://www.translink.ca/About-Us/Media/2018/February/TransLink-sees-record-ridership-in-2017.aspx</t>
  </si>
  <si>
    <t>Métro léger automatique de Toulouse , ligne A</t>
  </si>
  <si>
    <t>https://tisseo-collectivites.fr/donnees/les-chiffres-cles, 2017, page 17</t>
  </si>
  <si>
    <t xml:space="preserve"> par rame</t>
  </si>
  <si>
    <t>Massagers</t>
  </si>
  <si>
    <t>CDPQ-Infra a obtenu un contrat sans appels d'offres de 99 ans pour exploiter le REM. Il facturera 72¢ par passager-km à l'Autorité de transport de Montréal.</t>
  </si>
  <si>
    <t>Figure Réjean Benoit</t>
  </si>
  <si>
    <t xml:space="preserve">Le 11 avril 2017, l’Assemblée nationale adoptait la motion suivante :  </t>
  </si>
  <si>
    <t>« Que l’Assemblée nationale donne le mandat au Vérificateur général du Québec de faire une vérification du montage financier du projet de réseau électrique métropolitain quant au respect des règles comptables. »</t>
  </si>
  <si>
    <t xml:space="preserve">La Vérificatrice générale du Québec à reçu de l'Assemblé Nationale du Qé.bec le mandat de validerle montage financier du REM. </t>
  </si>
  <si>
    <t>Métro de Sydney</t>
  </si>
  <si>
    <t xml:space="preserve">13 stations (Stage 1) </t>
  </si>
  <si>
    <t xml:space="preserve">18 stations (Stage 2) </t>
  </si>
  <si>
    <t>31 stations (Total)</t>
  </si>
  <si>
    <t>Contrat du Stage 1 accordé à Northwest Rapid Transit consortium</t>
  </si>
  <si>
    <t>4000 commuter car parking spaces and the</t>
  </si>
  <si>
    <r>
      <t>NSW government signs up consortium for $</t>
    </r>
    <r>
      <rPr>
        <b/>
        <sz val="12"/>
        <color theme="1"/>
        <rFont val="Calibri"/>
        <family val="2"/>
        <scheme val="minor"/>
      </rPr>
      <t>3.7 billion</t>
    </r>
  </si>
  <si>
    <t>platform screen doors running the full length of platforms</t>
  </si>
  <si>
    <t>construction of the Sydney Metro Trains Facility to house and maintain the metro fleet, and</t>
  </si>
  <si>
    <t>an Operations Control Centre, within this facility, to monitor the entire railway, ensuring safe and reliable running.</t>
  </si>
  <si>
    <t>Design features</t>
  </si>
  <si>
    <t>The project involves:</t>
  </si>
  <si>
    <t>the delivery of 22 six car new generation, fully automated Alstom Metropolis metro trains</t>
  </si>
  <si>
    <t>Alstom Rolling Stock for the North West rail link</t>
  </si>
  <si>
    <t>Alstom will be responsible for the rolling stock and signalling system for the North West rail link. As part of the €280m worth contract awarded in September 2014, Alstom will design, supply, manufacture, test and commission the rolling stock and the signalling system.</t>
  </si>
  <si>
    <t>Alstom will supply 22 Metropolis train sets for the project. The fully-automated trains will have six cars each and three double doors per car for improved passenger flow.</t>
  </si>
  <si>
    <t>Donc €280m pour 132 voitures = 420 M $ 3,3 M/$ voiture</t>
  </si>
  <si>
    <t>https://www.railway-technology.com/projects/north-west-rail-link-sydney/</t>
  </si>
  <si>
    <t>https://plenarygroup.com/assets/media/plenary-SydmetroNW-factsheet%20(2).pdf</t>
  </si>
  <si>
    <t>SydmetroNW-factsheet</t>
  </si>
  <si>
    <t>https://plenarygroup.com/assets/media/plenary-SydmetroNW-factsheet (2).pdf</t>
  </si>
  <si>
    <t>15 years, Design-Build- Finance-Maintain and Operate</t>
  </si>
  <si>
    <t xml:space="preserve">la livraison de 22 six voitures (132), entièrement
métro automatisé Alstom Metropolis.
</t>
  </si>
  <si>
    <t>8 nouvelles stations</t>
  </si>
  <si>
    <t>5 stations rénovés pour le métro léger</t>
  </si>
  <si>
    <t>23 kilometres de voies</t>
  </si>
  <si>
    <t>1,00 $ australien = 0,95 $ canadien au 30 aout 2018</t>
  </si>
  <si>
    <t>Estimation des frais entretien</t>
  </si>
  <si>
    <t>Contrat du Stage 1 accordé à Northwest Rapid Transit consortium $3.7 billion AU</t>
  </si>
  <si>
    <t xml:space="preserve"> - 15 years, Design-Build- Finance-Maintain and Operate</t>
  </si>
  <si>
    <t xml:space="preserve"> - Construction de 8 nouvelles stations, rénovation de 5 stations pour le métro léger</t>
  </si>
  <si>
    <t xml:space="preserve"> - Livraison de 132 voitures (22 x six) métro automatisé Alstom Metropolis</t>
  </si>
  <si>
    <t xml:space="preserve"> - 23 kilometres de voies</t>
  </si>
  <si>
    <t>Toulouse</t>
  </si>
  <si>
    <t>Canada Line</t>
  </si>
  <si>
    <t>CDPQ-Infra assume le risque si le REM n'obtient pas l'achalandage prévu dans l'Entente du 22 mars 2018.</t>
  </si>
  <si>
    <t>achalandage</t>
  </si>
  <si>
    <t>+taille rames</t>
  </si>
  <si>
    <t>d'exploitation</t>
  </si>
  <si>
    <t>8 nouvelles stations, 5 rénovations</t>
  </si>
  <si>
    <t xml:space="preserve">L'Autorité assume le risque que l'achalandage soit beaucoup plus élevé qu'annoncé et puisse atteindre </t>
  </si>
  <si>
    <t>Ainsi, pour 646 millions de passagers-km, l'Autorité paiera 469 millions à CDPQ-Infra. L'Autorité recevra des usagers 137 millions $ pour un déficit d'exploitation de 332 millions $.</t>
  </si>
  <si>
    <t>De ce déficit de 322 millions $, le gouvernement du Québec assumera 255 millions $ et les municipalités 75 millions $.</t>
  </si>
  <si>
    <t>selon Entente</t>
  </si>
  <si>
    <t>2021-2035</t>
  </si>
  <si>
    <t>2021-2050</t>
  </si>
  <si>
    <t>2021-2018</t>
  </si>
  <si>
    <t>Durée</t>
  </si>
  <si>
    <t>Années</t>
  </si>
  <si>
    <t>Sauf que l'équipe de la Vérificatrice a confirmé des chiffres inférieur à ceux soumis par SDG. Voir onglet Écart 6%</t>
  </si>
  <si>
    <t>Déficit d'opération à assumer par le gouvernement du Québec et municipalités</t>
  </si>
  <si>
    <t>En soumettant son rapport à l'Assemblée Nationale, la Vérificatrice valide indirectement que gouvernement du Québec paiera les déficit d'exploitation du REM</t>
  </si>
  <si>
    <t>Faits saillants de l'audit</t>
  </si>
  <si>
    <t>assumera 85% du déficit d'opération se limitant à parler d'un potentiel de rendement</t>
  </si>
  <si>
    <t xml:space="preserve">Les faits saillants du rapport de la Vérificatrice passe sous silence que le gouvernement </t>
  </si>
  <si>
    <t xml:space="preserve">Paragraphe 173 Compte tenu du fait que le projet commence à peine, il est difficile de confirmer ou d’infirmer si les hypothèses se réaliseront ou non. </t>
  </si>
  <si>
    <t xml:space="preserve">Aussi, il ne faut pas oublier que les sommes les plus importantes du modèle sont consti­ tuées des paiements de l’ARTM qui sont la multiplication de l’achalandage réel et de la tarification prévue à l’entente (0,72 dollar par passager­kilomètre jusqu’à ce que l’achalandage atteigne 115 %). </t>
  </si>
  <si>
    <t xml:space="preserve">Pour être en mesure de verser ces sommes, le gouvernement s’est engagé jusqu’en 2023­2024 à fournir une aide financière à l’ARTM tel que mentionné dans ses documents budgétaires. Au­delà de cette date, le gouvernement s’est également engagé envers l’ARTM à lui offrir un soutien financier équivalent à 85 % du coût additionnel lié à la mise en service du REM, et ce, pendant toute la durée de l’entente de gestion et de réalisation. </t>
  </si>
  <si>
    <t xml:space="preserve">Les montants de la participation du gouvernement seront définis dans le cadre de la politique de financement de l’ARTM. </t>
  </si>
  <si>
    <t>Même si l'équipe de la Vérificatrice a obtenu des simulation sur 97 ans, le rapport n'indique pas les montants des déficits récurent pour le gouvernement.</t>
  </si>
  <si>
    <t>En évoquant seulement le potentiel de rendement, le Faits saillants trompe le lecteur ne connaissant pas l'ensemble des implication financière du contrat du REM.</t>
  </si>
  <si>
    <t>Cout d'exploitation estimé 
($ constant)</t>
  </si>
  <si>
    <t xml:space="preserve">Cout d'exploitation déduit du 455 M $ </t>
  </si>
  <si>
    <t>Rendement 8% exigé</t>
  </si>
  <si>
    <t>(arrondi 220 M$)</t>
  </si>
  <si>
    <t xml:space="preserve">soit un minimum de 3 milliards $ en 15 ans, 7 milliards $ en 30 ans et 28 milliard $ en 97 ans </t>
  </si>
  <si>
    <t>3,7 milliards de dollars australiens</t>
  </si>
  <si>
    <t>Revenus provenant de la facturation de 72¢, 58¢ et 21¢ présenté à l'ARTM</t>
  </si>
  <si>
    <t>km-pass/embarquement</t>
  </si>
  <si>
    <t>Embarquement</t>
  </si>
  <si>
    <t>Embarquement annuel</t>
  </si>
  <si>
    <t>kilomètre-passagers annuel</t>
  </si>
  <si>
    <t>Hausse embarquements/an</t>
  </si>
  <si>
    <t>en M $</t>
  </si>
  <si>
    <t>72 cents/pass-km</t>
  </si>
  <si>
    <t>Déficit annuel</t>
  </si>
  <si>
    <t>51 cents/pass-km</t>
  </si>
  <si>
    <t>nov. 2016</t>
  </si>
  <si>
    <t>identique SDG</t>
  </si>
  <si>
    <t xml:space="preserve">Croissance 0,8% </t>
  </si>
  <si>
    <t>étude nov 2016</t>
  </si>
  <si>
    <t>étude fev 2017</t>
  </si>
  <si>
    <t>Somme de km-massagers selon Entente (croissance de 0,4%) =</t>
  </si>
  <si>
    <t>Écart =</t>
  </si>
  <si>
    <t>98e</t>
  </si>
  <si>
    <t>99e</t>
  </si>
  <si>
    <t>101er</t>
  </si>
  <si>
    <t>102e</t>
  </si>
  <si>
    <t>103e</t>
  </si>
  <si>
    <t>104e</t>
  </si>
  <si>
    <t>105e</t>
  </si>
  <si>
    <t>106e</t>
  </si>
  <si>
    <t>107e</t>
  </si>
  <si>
    <t>108e</t>
  </si>
  <si>
    <t>109e</t>
  </si>
  <si>
    <t>110e</t>
  </si>
  <si>
    <t>111e</t>
  </si>
  <si>
    <t>112e</t>
  </si>
  <si>
    <t>100e</t>
  </si>
  <si>
    <t>Est-ce que les prévisions définitives inscrite dans l'Entente définitive sont réalistes, mais conservatrice?</t>
  </si>
  <si>
    <t>Il a transporté 63,5 millions de passagers en 2017 après 16 ans d'exploitation.</t>
  </si>
  <si>
    <t>Le métro léger automatique de Vancouver à été inauguré en 2009 et à aujourd'hui 16 stations, dont une ligne rejoignan l'aéroport.</t>
  </si>
  <si>
    <r>
      <t xml:space="preserve">Il a transporté </t>
    </r>
    <r>
      <rPr>
        <b/>
        <sz val="12"/>
        <color theme="1"/>
        <rFont val="Calibri"/>
        <family val="2"/>
        <scheme val="minor"/>
      </rPr>
      <t>43,5 millions</t>
    </r>
    <r>
      <rPr>
        <sz val="12"/>
        <color theme="1"/>
        <rFont val="Calibri"/>
        <family val="2"/>
        <scheme val="minor"/>
      </rPr>
      <t xml:space="preserve"> de passagers en 2016 après 8 ans d'exploitation.</t>
    </r>
  </si>
  <si>
    <t>Il existe une relation directe entre le nombre de passagers par jour et annuel</t>
  </si>
  <si>
    <t>annuel</t>
  </si>
  <si>
    <t>jour de semaine</t>
  </si>
  <si>
    <t>Facteur annuel</t>
  </si>
  <si>
    <t>Le REM sera un métro pratiquement identique au REM. Si SDG avait utilisé le même facteur annuel qu'à Vancouver combien de passagers utiliserait le REM en 2031?</t>
  </si>
  <si>
    <t>La firme Steer Davies Gleave (SDG) (étude fév 2017) utilise un facteur beaucoup plus faible</t>
  </si>
  <si>
    <t>Conversion</t>
  </si>
  <si>
    <t xml:space="preserve"> passsagers</t>
  </si>
  <si>
    <t>Nombre de</t>
  </si>
  <si>
    <r>
      <t xml:space="preserve">Etude février 2017 </t>
    </r>
    <r>
      <rPr>
        <b/>
        <sz val="12"/>
        <color theme="1"/>
        <rFont val="Calibri"/>
        <family val="2"/>
        <scheme val="minor"/>
      </rPr>
      <t>(avec</t>
    </r>
    <r>
      <rPr>
        <sz val="12"/>
        <color theme="1"/>
        <rFont val="Calibri"/>
        <family val="2"/>
        <scheme val="minor"/>
      </rPr>
      <t xml:space="preserve"> les stations McGill et Edouard-Monpetit)</t>
    </r>
  </si>
  <si>
    <t xml:space="preserve">chaque passager </t>
  </si>
  <si>
    <t>Passagers-km annuel avec 15 km / passager</t>
  </si>
  <si>
    <t>REM (314 jours)</t>
  </si>
  <si>
    <t>(plus de passagers pour le même 468M $)</t>
  </si>
  <si>
    <t>Hausse sur le prévision avec l'achalandage revisé</t>
  </si>
  <si>
    <t>Test nonbre d'années pour obtenir 953 millions de passagers-km commme Copenhague après 16 ans (moyenne de 15 km/ passager).</t>
  </si>
  <si>
    <r>
      <t xml:space="preserve">L'Achalandage du REM (selon CDPQ-INFRA) après 11 ans 650 M de passagers-km= </t>
    </r>
    <r>
      <rPr>
        <b/>
        <sz val="12"/>
        <color theme="1"/>
        <rFont val="Calibri"/>
        <family val="2"/>
        <scheme val="minor"/>
      </rPr>
      <t>43 millions</t>
    </r>
    <r>
      <rPr>
        <sz val="12"/>
        <color theme="1"/>
        <rFont val="Calibri"/>
        <family val="2"/>
        <scheme val="minor"/>
      </rPr>
      <t xml:space="preserve"> de passagers (15 km par passager en moyenne)</t>
    </r>
  </si>
  <si>
    <t>Les prévisions de SDG sont supérieur</t>
  </si>
  <si>
    <t>La firme Steer Davies Gleave (SDG) (étude fév 2017) utilise un facteur beaucoup plus faible dans l'étude du REM.</t>
  </si>
  <si>
    <t>On comprend la mise en garde de SDG dans sont rapport de février:</t>
  </si>
  <si>
    <t>"Le sondage sur les préférences déclarées, qui est l’un des nombreux éléments d’une étude sur</t>
  </si>
  <si>
    <t xml:space="preserve">l’achalandage, permet de déterminer comment les usagers perçoivent les modes de transport </t>
  </si>
  <si>
    <t>expérience professionnelle ni aux données recueillies partout dans le monde"</t>
  </si>
  <si>
    <t xml:space="preserve">Déficit d'opérations en tenant compte uniquement des chiffres de l'Entente </t>
  </si>
  <si>
    <t>du REM</t>
  </si>
  <si>
    <t>Partage du déficit  du REM</t>
  </si>
  <si>
    <t>85% du surcoût</t>
  </si>
  <si>
    <t>15% + 30 M $</t>
  </si>
  <si>
    <t>Total 2 années</t>
  </si>
  <si>
    <t>Fleet of: 20 two-car train sets</t>
  </si>
  <si>
    <t xml:space="preserve">Flotte 40 véhicule </t>
  </si>
  <si>
    <t>interleaved to provide service every 3.5 minutes on the combined section between Waterfront and Bridgeport.</t>
  </si>
  <si>
    <t>https://en.wikipedia.org/wiki/Canada_Line</t>
  </si>
  <si>
    <t>334 people per pair of cars (comfortably) or 400 people at crush load</t>
  </si>
  <si>
    <t xml:space="preserve">Converrtis en </t>
  </si>
  <si>
    <t>passagers /</t>
  </si>
  <si>
    <t>année (15 km)</t>
  </si>
  <si>
    <t>Partage des revenus</t>
  </si>
  <si>
    <t>Revenu net estimé</t>
  </si>
  <si>
    <t>Contribution de l'usager de 21 cent par km selon La Presse du 23 avril 2018</t>
  </si>
  <si>
    <t>Cout moyen / pass/km (avec rabais)</t>
  </si>
  <si>
    <t>Revenus stationnements et droits aériens
5 M$/an</t>
  </si>
  <si>
    <t>Millions</t>
  </si>
  <si>
    <t>Donnée SDG</t>
  </si>
  <si>
    <t>Passagers-km annuel avec 14,5 km / passager</t>
  </si>
  <si>
    <t>(Le nombre de km de passager à été diminué par SDG dans l'étude de février 2017)</t>
  </si>
  <si>
    <t xml:space="preserve">Avec </t>
  </si>
  <si>
    <t>seulement</t>
  </si>
  <si>
    <t>la Rive-sud</t>
  </si>
  <si>
    <t>ce chiffre</t>
  </si>
  <si>
    <t>aurait dû</t>
  </si>
  <si>
    <t>être plus</t>
  </si>
  <si>
    <t>faible</t>
  </si>
  <si>
    <t>entre les deux études</t>
  </si>
  <si>
    <t>Par jour de semaine</t>
  </si>
  <si>
    <r>
      <t>actuels et futurs (comme le REM). Les résultats de ce sondage</t>
    </r>
    <r>
      <rPr>
        <b/>
        <sz val="12"/>
        <color rgb="FF3F3F3F"/>
        <rFont val="Calibri"/>
        <family val="2"/>
        <scheme val="minor"/>
      </rPr>
      <t xml:space="preserve"> ne correspondaient pas</t>
    </r>
    <r>
      <rPr>
        <sz val="12"/>
        <color rgb="FF3F3F3F"/>
        <rFont val="Calibri"/>
        <scheme val="minor"/>
      </rPr>
      <t xml:space="preserve"> à notre </t>
    </r>
  </si>
  <si>
    <t>Facteur annuel calculé</t>
  </si>
  <si>
    <t>Facteur annuel région de Montréal.</t>
  </si>
  <si>
    <t>Selon SDG, le REM aura un facteur annuel de 260, ce qui est moindre que les autobus de l'Ouest de l'Ile</t>
  </si>
  <si>
    <t>SDG-nov2016_p27</t>
  </si>
  <si>
    <t>)</t>
  </si>
  <si>
    <t>(Croissance du nombre de passager-km avec facteur de Vancouver=</t>
  </si>
  <si>
    <t xml:space="preserve">L'Entente en 2031 indique plutôt </t>
  </si>
  <si>
    <t>net</t>
  </si>
  <si>
    <t>Rendement
Québec</t>
  </si>
  <si>
    <t>Québec: Rendement</t>
  </si>
  <si>
    <t>Québec Rendement net</t>
  </si>
  <si>
    <t>1,00 $ australien = 0,95 $ canadien au 30 aout 2018, = 3,5 milliards $CND</t>
  </si>
  <si>
    <t>2021-2118</t>
  </si>
  <si>
    <t>( $ 2021)</t>
  </si>
  <si>
    <t xml:space="preserve"> Équiv. à l'Entente du 22 mars :</t>
  </si>
  <si>
    <t>Multiplication de l'achalandage de l'Entente du 22 mars</t>
  </si>
  <si>
    <t>(Voir onglet Sydney</t>
  </si>
  <si>
    <t>Comparaison avec les 3,7 milliards $AU (3,5 milliards $)</t>
  </si>
  <si>
    <t xml:space="preserve">pour l'opération pour 15 ans du métro de Sydney </t>
  </si>
  <si>
    <t xml:space="preserve">(même modèle que le REM) mais inclut l'achat des </t>
  </si>
  <si>
    <t>voitures les voies et 13 stations</t>
  </si>
  <si>
    <t>km-passagers 2031</t>
  </si>
  <si>
    <t>Expo/Millennium lines</t>
  </si>
  <si>
    <t>105 millions passagers</t>
  </si>
  <si>
    <t>Expo/Millennium lines de Vancouver (propriété public)</t>
  </si>
  <si>
    <t>https://www.translink.ca/-/media/Documents/plans_and_projects/managing_the_transit_network/2015%20TSPR/2015%20TSPR%20Appendix%20E%20Rail%20Line%20Summaries.pdf</t>
  </si>
  <si>
    <t>122 M $ page 10</t>
  </si>
  <si>
    <t>Cout</t>
  </si>
  <si>
    <t xml:space="preserve"> par </t>
  </si>
  <si>
    <t>passager</t>
  </si>
  <si>
    <t>passager-km</t>
  </si>
  <si>
    <t>Revenus</t>
  </si>
  <si>
    <t>passagers</t>
  </si>
  <si>
    <t>Municipalités</t>
  </si>
  <si>
    <t>Calcul de la facturation et du déficit d'opérations du REM (milliards $ 2021) :</t>
  </si>
  <si>
    <t>brut</t>
  </si>
  <si>
    <t>Montréal</t>
  </si>
  <si>
    <t>Longueuil</t>
  </si>
  <si>
    <t>Saint-Eustache</t>
  </si>
  <si>
    <t>Aautres</t>
  </si>
  <si>
    <t>Partage municiplale des déficits</t>
  </si>
  <si>
    <t>St-Eustache</t>
  </si>
  <si>
    <t>Autres</t>
  </si>
  <si>
    <t>Facteur de multiplication de l'achalandage de l'Entente du 22 mars</t>
  </si>
  <si>
    <t xml:space="preserve"> (utilisé sur onglet Simulateur, cellule E18)</t>
  </si>
  <si>
    <t xml:space="preserve"> Partage du déficit</t>
  </si>
  <si>
    <t xml:space="preserve"> gouv. du Québec</t>
  </si>
  <si>
    <t xml:space="preserve"> Rendement</t>
  </si>
  <si>
    <t>Prévisions :</t>
  </si>
  <si>
    <t>15% de plus :</t>
  </si>
  <si>
    <t>40% de plus :</t>
  </si>
  <si>
    <t>75% de plus :</t>
  </si>
  <si>
    <t>100% de plus :</t>
  </si>
  <si>
    <t>85% - 30 M $</t>
  </si>
  <si>
    <t>ARTM</t>
  </si>
  <si>
    <t>Municipalités (millions $)</t>
  </si>
  <si>
    <t>* Il y a plafonnement des déficits annuel après avoir atteint 140% des prévisions, car après ce seuil le tarif usager est égale à la facturation suplémentaire.</t>
  </si>
  <si>
    <t>Après l'année 2042 et l'atteinte de 140% des prévisions, la hausse des déficits se limitera àa 0,04% par ans.</t>
  </si>
  <si>
    <t>La construction et l'exploitation pourrait couter moins que ce qu'exige CDPQ-Infra</t>
  </si>
  <si>
    <t>Comparaison cout location du REM 15 ans avec la nationalisation du REM</t>
  </si>
  <si>
    <t>Il faut s'attendre à beaucoup plus d'usager et à une facture plus élevé.</t>
  </si>
  <si>
    <t>Financement 3,15 milliards $ à 3%</t>
  </si>
  <si>
    <t>Banque d'investissements Canada 1,3 MM</t>
  </si>
  <si>
    <t>1 an</t>
  </si>
  <si>
    <t>Milliards $</t>
  </si>
  <si>
    <t>Si égale aux prévisions :</t>
  </si>
  <si>
    <t>Avec 2 fois plus d'usagers (100%) :</t>
  </si>
  <si>
    <t>Selon achalandage</t>
  </si>
  <si>
    <t xml:space="preserve"> Éléments à financer</t>
  </si>
  <si>
    <t xml:space="preserve"> Coût de la Nationnalisation du REM</t>
  </si>
  <si>
    <t xml:space="preserve"> Surcout du contrat CDPQ-Infra sur une Nationalisation</t>
  </si>
  <si>
    <t xml:space="preserve"> Facturation sur 15 ans ( milliards $ 2021 )</t>
  </si>
  <si>
    <t>Fond de réinvestissement travaux majeur</t>
  </si>
  <si>
    <t>Plus-value foncière (600 M sur 50 ans)</t>
  </si>
  <si>
    <t xml:space="preserve"> (Reprise du contrat et remboursement CDPQ-Infra de 3,15 milliards $)</t>
  </si>
  <si>
    <t>Cout d'exploitation annuel Vancouver (2017)</t>
  </si>
  <si>
    <t>Cout d'exploitation inférieur REM (-10%)</t>
  </si>
  <si>
    <t xml:space="preserve">https://public.tableau.com/profile/translink#!/vizhome/2017TSPR-RailSummary_0/1_SkyTrainandWCELineSummaries </t>
  </si>
  <si>
    <t>Vancouver 164 millions / an en 2017</t>
  </si>
  <si>
    <t>(55 ¢/p-km)</t>
  </si>
  <si>
    <t>Triple de l'</t>
  </si>
  <si>
    <t>Double de l'</t>
  </si>
  <si>
    <t>(44 ¢/p-km)</t>
  </si>
  <si>
    <r>
      <t xml:space="preserve"> Facturation et déficits sur </t>
    </r>
    <r>
      <rPr>
        <b/>
        <u/>
        <sz val="13"/>
        <color theme="1"/>
        <rFont val="Calibri"/>
        <scheme val="minor"/>
      </rPr>
      <t>15 ans</t>
    </r>
    <r>
      <rPr>
        <b/>
        <sz val="13"/>
        <color theme="1"/>
        <rFont val="Calibri"/>
        <scheme val="minor"/>
      </rPr>
      <t xml:space="preserve"> (milliards $ 2021)</t>
    </r>
  </si>
  <si>
    <t>* Il y a plafonnement des déficits annuel après avoir atteint 140% des prévisions, car après ce seuil le tarif usager est égal à la facturation supplémentaire.</t>
  </si>
  <si>
    <t>https://en.wikipedia.org/wiki/Canada_Line#Technology</t>
  </si>
  <si>
    <t>Nombre de passagers année</t>
  </si>
  <si>
    <t>base /pass- km</t>
  </si>
  <si>
    <t>base / pass-km
-20%</t>
  </si>
  <si>
    <t xml:space="preserve">Achalandage
nb km-pass </t>
  </si>
  <si>
    <t>Expo/Millennium_Ridership</t>
  </si>
  <si>
    <t>Vancouver, Expo/Millennium 2017 105 millions passagers</t>
  </si>
  <si>
    <t>Partage du déficit du REM</t>
  </si>
  <si>
    <r>
      <t xml:space="preserve">Déficit par passager
</t>
    </r>
    <r>
      <rPr>
        <b/>
        <sz val="10"/>
        <color rgb="FFFF0000"/>
        <rFont val="Calibri"/>
        <scheme val="minor"/>
      </rPr>
      <t>(15 km / déplacement)</t>
    </r>
  </si>
  <si>
    <t>Autofinancement en 2027</t>
  </si>
  <si>
    <t>Taris usager/ pass-km en 2021</t>
  </si>
  <si>
    <t>Québec
85%
du surcoût
du REM</t>
  </si>
  <si>
    <t>Facturation CDPQ-Infra selon achalandage (milliards $)</t>
  </si>
  <si>
    <t>Frais exigé par CDPQ-Infra par passager-km facturé à l’ARTM selon seuils prévus</t>
  </si>
  <si>
    <t>Contributions publiques modulées selon seuils d'achalandage (selon Entente du 21 mars 2018)</t>
  </si>
  <si>
    <t>Facturation CDPQ-Infra selon achalandage
à l'ARTM ($)</t>
  </si>
  <si>
    <t>Simulateur selon l'achalandage des autres métros automatiques</t>
  </si>
  <si>
    <t>REM Montréal déficit maximum selon ARTM</t>
  </si>
  <si>
    <t>334 pass/train</t>
  </si>
  <si>
    <t>600 pass/train</t>
  </si>
  <si>
    <t>Achalandage prévu dans l'Entente du
22 mars 2018</t>
  </si>
  <si>
    <t xml:space="preserve">/REM  </t>
  </si>
  <si>
    <t>taille rame</t>
  </si>
  <si>
    <t>Expo/Millennium</t>
  </si>
  <si>
    <t>Canada Line de Vancouver (concession partielle 35 ans de CDPQ)</t>
  </si>
  <si>
    <t>Vancouver Canada Line: achalnadage 173% par station</t>
  </si>
  <si>
    <t>Vancouver, facteur jour par an = 314 plutôt que 260 (+30%)</t>
  </si>
  <si>
    <t xml:space="preserve"> Équiv. au système de Toulouse, ligne A: + 93%</t>
  </si>
  <si>
    <t>Changer le multiplicateur dans liste déroulante :</t>
  </si>
  <si>
    <t>CND Line: 170% / station x  rames du REM 80% + grand)</t>
  </si>
  <si>
    <t>Déplacements
de 15 km</t>
  </si>
  <si>
    <t>Années d'exploitation</t>
  </si>
  <si>
    <t>Déficit assumé par ARTM (facture CDPQ-I moins revenus passagers)</t>
  </si>
  <si>
    <t>Calculs sans
inflation ($2021)</t>
  </si>
  <si>
    <t>$ australien</t>
  </si>
  <si>
    <t>$ canadien</t>
  </si>
  <si>
    <r>
      <t xml:space="preserve"> upgrade of </t>
    </r>
    <r>
      <rPr>
        <b/>
        <sz val="12"/>
        <color theme="1"/>
        <rFont val="Calibri"/>
        <family val="2"/>
        <scheme val="minor"/>
      </rPr>
      <t>five</t>
    </r>
    <r>
      <rPr>
        <sz val="12"/>
        <color theme="1"/>
        <rFont val="Calibri"/>
        <family val="2"/>
        <scheme val="minor"/>
      </rPr>
      <t xml:space="preserve"> existing railway stations to rapid transit status.</t>
    </r>
  </si>
  <si>
    <r>
      <rPr>
        <b/>
        <sz val="12"/>
        <color rgb="FF333333"/>
        <rFont val="Arial"/>
      </rPr>
      <t>Work</t>
    </r>
    <r>
      <rPr>
        <sz val="12"/>
        <color rgb="FF333333"/>
        <rFont val="Arial"/>
      </rPr>
      <t xml:space="preserve"> on the new greenfield section between Rouse Hill and Epping will include:</t>
    </r>
  </si>
  <si>
    <r>
      <t>installation of</t>
    </r>
    <r>
      <rPr>
        <b/>
        <sz val="12"/>
        <color rgb="FF333333"/>
        <rFont val="Arial"/>
      </rPr>
      <t xml:space="preserve"> 23-kilometre of new rail track</t>
    </r>
    <r>
      <rPr>
        <sz val="12"/>
        <color rgb="FF333333"/>
        <rFont val="Arial"/>
      </rPr>
      <t>, signalling and mechanical and electrical systems</t>
    </r>
  </si>
  <si>
    <t>4,000 associated car parking spaces</t>
  </si>
  <si>
    <r>
      <t>The project includes eight new railway stations,</t>
    </r>
    <r>
      <rPr>
        <b/>
        <sz val="12"/>
        <color rgb="FF333333"/>
        <rFont val="Arial"/>
      </rPr>
      <t xml:space="preserve"> five existing railway stations</t>
    </r>
    <r>
      <rPr>
        <sz val="12"/>
        <color rgb="FF333333"/>
        <rFont val="Arial"/>
      </rPr>
      <t xml:space="preserve"> converted to metro standard </t>
    </r>
  </si>
  <si>
    <t>15 premières années du scénario de base</t>
  </si>
  <si>
    <t>15 premières années simulées</t>
  </si>
  <si>
    <t>Écart sur scénario de base
(milliards $)</t>
  </si>
  <si>
    <t>Coûts net 
ARTM
 (milliards $)</t>
  </si>
  <si>
    <t>Municipalités
30 M$ / an 
 (milliards $)</t>
  </si>
  <si>
    <t>Coût additionnel
du REM
 (milliards $)</t>
  </si>
  <si>
    <t>Total municipalités
15% + 
30 M $ existant</t>
  </si>
  <si>
    <t>Facteur de croissance de l'Entente du 22 mars</t>
  </si>
  <si>
    <t>Calcul de la facturation et du déficit d'exploitation du REM (milliards $ 2021) :</t>
  </si>
  <si>
    <t>millions $</t>
  </si>
  <si>
    <t>Coût Vancouver pour 105 millions de passagers en 2017</t>
  </si>
  <si>
    <t>Coût REM pour 105 millions de passagers en 2027</t>
  </si>
  <si>
    <t>Surcoût du REM pour 105 millions de passagers/an</t>
  </si>
  <si>
    <t>6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</si>
</sst>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 * #,##0.00_)\ &quot;$&quot;_ ;_ * \(#,##0.00\)\ &quot;$&quot;_ ;_ * &quot;-&quot;??_)\ &quot;$&quot;_ ;_ @_ "/>
    <numFmt numFmtId="164" formatCode="0.0%"/>
    <numFmt numFmtId="165" formatCode="0.0"/>
    <numFmt numFmtId="166" formatCode="#,##0\ &quot;$&quot;"/>
    <numFmt numFmtId="167" formatCode="#,##0.00\ &quot;$&quot;"/>
    <numFmt numFmtId="168" formatCode="#,##0.000\ &quot;$&quot;"/>
    <numFmt numFmtId="169" formatCode="#,##0.0"/>
    <numFmt numFmtId="170" formatCode="_-* #,##0.00\ &quot;$&quot;_-;\-* #,##0.00\ &quot;$&quot;_-;_-* &quot;-&quot;??\ &quot;$&quot;_-;_-@_-"/>
    <numFmt numFmtId="171" formatCode="#,##0.0\ &quot;$&quot;"/>
    <numFmt numFmtId="172" formatCode="_ * #,##0.0_)\ &quot;$&quot;_ ;_ * \(#,##0.0\)\ &quot;$&quot;_ ;_ * &quot;-&quot;??_)\ &quot;$&quot;_ ;_ @_ "/>
    <numFmt numFmtId="173" formatCode="_ * #,##0.0_)\ &quot;$&quot;_ ;_ * \(#,##0.0\)\ &quot;$&quot;_ ;_ * &quot;-&quot;?_)\ &quot;$&quot;_ ;_ @_ "/>
    <numFmt numFmtId="174" formatCode="#,##0.000"/>
  </numFmts>
  <fonts count="6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scheme val="minor"/>
    </font>
    <font>
      <sz val="8"/>
      <color theme="1"/>
      <name val="DINOffc"/>
    </font>
    <font>
      <b/>
      <sz val="12"/>
      <color rgb="FF454545"/>
      <name val="Helvetica Neue"/>
    </font>
    <font>
      <sz val="10"/>
      <color rgb="FF0000FF"/>
      <name val="Arial"/>
    </font>
    <font>
      <b/>
      <sz val="6"/>
      <color theme="1"/>
      <name val="Arial"/>
    </font>
    <font>
      <b/>
      <sz val="10"/>
      <color theme="1"/>
      <name val="Arial"/>
    </font>
    <font>
      <u/>
      <sz val="12"/>
      <color theme="1"/>
      <name val="Calibri"/>
      <scheme val="minor"/>
    </font>
    <font>
      <sz val="11"/>
      <color theme="1"/>
      <name val="Calibri"/>
      <scheme val="minor"/>
    </font>
    <font>
      <i/>
      <sz val="12"/>
      <color theme="1"/>
      <name val="Calibri"/>
      <scheme val="minor"/>
    </font>
    <font>
      <b/>
      <sz val="14"/>
      <color theme="1"/>
      <name val="Calibri"/>
      <scheme val="minor"/>
    </font>
    <font>
      <sz val="12"/>
      <color rgb="FFFF0000"/>
      <name val="Calibri"/>
      <family val="2"/>
      <scheme val="minor"/>
    </font>
    <font>
      <sz val="9"/>
      <color theme="1"/>
      <name val="DINOffc"/>
    </font>
    <font>
      <sz val="10"/>
      <color theme="1"/>
      <name val="DINOffc"/>
    </font>
    <font>
      <sz val="14"/>
      <color theme="1"/>
      <name val="Calibri"/>
      <scheme val="minor"/>
    </font>
    <font>
      <u/>
      <sz val="14"/>
      <color theme="10"/>
      <name val="Calibri"/>
      <scheme val="minor"/>
    </font>
    <font>
      <sz val="11"/>
      <name val="Calibri"/>
      <scheme val="minor"/>
    </font>
    <font>
      <sz val="12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2"/>
      <color rgb="FF000000"/>
      <name val="Arial"/>
    </font>
    <font>
      <b/>
      <sz val="16"/>
      <color theme="1"/>
      <name val="Calibri"/>
      <scheme val="minor"/>
    </font>
    <font>
      <b/>
      <sz val="13"/>
      <color theme="1"/>
      <name val="Calibri"/>
      <scheme val="minor"/>
    </font>
    <font>
      <b/>
      <sz val="12"/>
      <name val="Arial"/>
    </font>
    <font>
      <b/>
      <sz val="11"/>
      <name val="Calibri"/>
      <scheme val="minor"/>
    </font>
    <font>
      <sz val="12"/>
      <color rgb="FF000000"/>
      <name val="Arial"/>
    </font>
    <font>
      <sz val="12"/>
      <color rgb="FFFF0000"/>
      <name val="Arial"/>
    </font>
    <font>
      <sz val="12"/>
      <color theme="0" tint="-0.499984740745262"/>
      <name val="Calibri"/>
      <scheme val="minor"/>
    </font>
    <font>
      <sz val="12"/>
      <name val="Arial"/>
    </font>
    <font>
      <b/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scheme val="minor"/>
    </font>
    <font>
      <sz val="16"/>
      <color theme="1"/>
      <name val="Calibri"/>
      <scheme val="minor"/>
    </font>
    <font>
      <sz val="10.8"/>
      <color rgb="FF333333"/>
      <name val="Helvetica"/>
    </font>
    <font>
      <sz val="14"/>
      <color rgb="FF333333"/>
      <name val="Helvetica"/>
    </font>
    <font>
      <sz val="18"/>
      <color rgb="FF333333"/>
      <name val="Helvetica"/>
    </font>
    <font>
      <b/>
      <sz val="12"/>
      <name val="Calibri"/>
    </font>
    <font>
      <sz val="14"/>
      <color theme="1"/>
      <name val="Times Roman"/>
    </font>
    <font>
      <sz val="14"/>
      <name val="Calibri"/>
      <scheme val="minor"/>
    </font>
    <font>
      <b/>
      <sz val="14"/>
      <name val="Calibri"/>
      <scheme val="minor"/>
    </font>
    <font>
      <sz val="12"/>
      <color rgb="FF3F3F3F"/>
      <name val="Calibri"/>
      <scheme val="minor"/>
    </font>
    <font>
      <sz val="14"/>
      <color rgb="FF222222"/>
      <name val="Arial"/>
    </font>
    <font>
      <b/>
      <sz val="12"/>
      <color rgb="FF3F3F3F"/>
      <name val="Calibri"/>
      <family val="2"/>
      <scheme val="minor"/>
    </font>
    <font>
      <sz val="12"/>
      <color rgb="FF0000FF"/>
      <name val="Calibri"/>
      <scheme val="minor"/>
    </font>
    <font>
      <sz val="14"/>
      <color rgb="FFFF0000"/>
      <name val="Calibri"/>
      <scheme val="minor"/>
    </font>
    <font>
      <sz val="8"/>
      <name val="Calibri"/>
      <family val="2"/>
      <scheme val="minor"/>
    </font>
    <font>
      <b/>
      <sz val="14"/>
      <color rgb="FFFF0000"/>
      <name val="Calibri"/>
      <scheme val="minor"/>
    </font>
    <font>
      <sz val="13"/>
      <color theme="1"/>
      <name val="Calibri"/>
      <scheme val="minor"/>
    </font>
    <font>
      <sz val="10"/>
      <color theme="1"/>
      <name val="Calibri"/>
      <scheme val="minor"/>
    </font>
    <font>
      <b/>
      <sz val="16"/>
      <color rgb="FFFF0000"/>
      <name val="Calibri"/>
      <scheme val="minor"/>
    </font>
    <font>
      <b/>
      <sz val="16"/>
      <name val="Calibri"/>
      <scheme val="minor"/>
    </font>
    <font>
      <b/>
      <u/>
      <sz val="13"/>
      <color theme="1"/>
      <name val="Calibri"/>
      <scheme val="minor"/>
    </font>
    <font>
      <b/>
      <sz val="10"/>
      <color rgb="FFFF0000"/>
      <name val="Calibri"/>
      <scheme val="minor"/>
    </font>
    <font>
      <sz val="12"/>
      <color rgb="FF333333"/>
      <name val="Arial"/>
    </font>
    <font>
      <b/>
      <sz val="12"/>
      <color rgb="FF333333"/>
      <name val="Arial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9D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36">
    <xf numFmtId="0" fontId="0" fillId="0" borderId="0" applyBorder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13">
    <xf numFmtId="0" fontId="0" fillId="0" borderId="0" xfId="0"/>
    <xf numFmtId="0" fontId="6" fillId="0" borderId="0" xfId="0" applyFont="1" applyFill="1"/>
    <xf numFmtId="0" fontId="6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7" fillId="2" borderId="0" xfId="0" applyFont="1" applyFill="1"/>
    <xf numFmtId="165" fontId="0" fillId="2" borderId="0" xfId="0" applyNumberForma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0" fillId="0" borderId="0" xfId="0" applyAlignment="1">
      <alignment horizontal="center"/>
    </xf>
    <xf numFmtId="10" fontId="0" fillId="0" borderId="0" xfId="0" applyNumberFormat="1"/>
    <xf numFmtId="0" fontId="6" fillId="0" borderId="0" xfId="0" applyFont="1"/>
    <xf numFmtId="166" fontId="0" fillId="0" borderId="0" xfId="0" applyNumberForma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Font="1"/>
    <xf numFmtId="0" fontId="10" fillId="0" borderId="0" xfId="0" applyFont="1" applyFill="1"/>
    <xf numFmtId="3" fontId="0" fillId="0" borderId="0" xfId="0" applyNumberFormat="1" applyBorder="1"/>
    <xf numFmtId="166" fontId="0" fillId="0" borderId="0" xfId="0" applyNumberFormat="1" applyBorder="1"/>
    <xf numFmtId="3" fontId="0" fillId="0" borderId="1" xfId="0" applyNumberFormat="1" applyBorder="1"/>
    <xf numFmtId="166" fontId="0" fillId="0" borderId="0" xfId="0" applyNumberFormat="1"/>
    <xf numFmtId="0" fontId="0" fillId="4" borderId="0" xfId="0" applyFill="1"/>
    <xf numFmtId="0" fontId="0" fillId="4" borderId="2" xfId="0" applyFill="1" applyBorder="1" applyAlignment="1">
      <alignment wrapText="1"/>
    </xf>
    <xf numFmtId="167" fontId="10" fillId="4" borderId="0" xfId="0" applyNumberFormat="1" applyFont="1" applyFill="1" applyAlignment="1">
      <alignment horizontal="center"/>
    </xf>
    <xf numFmtId="167" fontId="10" fillId="4" borderId="2" xfId="0" applyNumberFormat="1" applyFont="1" applyFill="1" applyBorder="1" applyAlignment="1">
      <alignment horizontal="center"/>
    </xf>
    <xf numFmtId="3" fontId="0" fillId="3" borderId="0" xfId="0" applyNumberFormat="1" applyFont="1" applyFill="1" applyBorder="1"/>
    <xf numFmtId="166" fontId="0" fillId="0" borderId="2" xfId="0" applyNumberFormat="1" applyBorder="1"/>
    <xf numFmtId="168" fontId="10" fillId="4" borderId="0" xfId="0" applyNumberFormat="1" applyFont="1" applyFill="1" applyAlignment="1">
      <alignment horizontal="center"/>
    </xf>
    <xf numFmtId="3" fontId="0" fillId="0" borderId="0" xfId="0" applyNumberFormat="1"/>
    <xf numFmtId="169" fontId="0" fillId="0" borderId="0" xfId="0" applyNumberFormat="1" applyBorder="1"/>
    <xf numFmtId="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6" fillId="0" borderId="3" xfId="0" applyFont="1" applyBorder="1"/>
    <xf numFmtId="0" fontId="0" fillId="0" borderId="3" xfId="0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8" fillId="0" borderId="0" xfId="40"/>
    <xf numFmtId="3" fontId="0" fillId="0" borderId="0" xfId="0" applyNumberFormat="1" applyFill="1" applyBorder="1"/>
    <xf numFmtId="9" fontId="0" fillId="0" borderId="0" xfId="41" applyNumberFormat="1" applyFont="1" applyFill="1" applyBorder="1"/>
    <xf numFmtId="164" fontId="0" fillId="0" borderId="0" xfId="41" applyNumberFormat="1" applyFont="1" applyFill="1" applyBorder="1"/>
    <xf numFmtId="10" fontId="0" fillId="0" borderId="0" xfId="41" applyNumberFormat="1" applyFont="1" applyFill="1" applyBorder="1"/>
    <xf numFmtId="0" fontId="6" fillId="5" borderId="0" xfId="0" applyFont="1" applyFill="1"/>
    <xf numFmtId="0" fontId="0" fillId="5" borderId="0" xfId="0" applyFill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169" fontId="0" fillId="0" borderId="0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10" fontId="18" fillId="0" borderId="0" xfId="41" applyNumberFormat="1" applyFont="1" applyFill="1" applyBorder="1"/>
    <xf numFmtId="169" fontId="18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5" xfId="0" applyBorder="1"/>
    <xf numFmtId="0" fontId="0" fillId="0" borderId="6" xfId="0" applyBorder="1"/>
    <xf numFmtId="165" fontId="0" fillId="2" borderId="0" xfId="0" applyNumberFormat="1" applyFont="1" applyFill="1" applyBorder="1" applyAlignment="1">
      <alignment horizontal="center"/>
    </xf>
    <xf numFmtId="0" fontId="0" fillId="0" borderId="8" xfId="0" applyBorder="1"/>
    <xf numFmtId="1" fontId="0" fillId="3" borderId="3" xfId="0" applyNumberFormat="1" applyFill="1" applyBorder="1"/>
    <xf numFmtId="0" fontId="0" fillId="0" borderId="13" xfId="0" applyBorder="1"/>
    <xf numFmtId="0" fontId="0" fillId="0" borderId="14" xfId="0" applyBorder="1"/>
    <xf numFmtId="165" fontId="0" fillId="0" borderId="0" xfId="0" applyNumberFormat="1" applyFill="1" applyAlignment="1">
      <alignment horizontal="center"/>
    </xf>
    <xf numFmtId="0" fontId="7" fillId="0" borderId="0" xfId="0" applyFont="1" applyFill="1"/>
    <xf numFmtId="0" fontId="0" fillId="0" borderId="0" xfId="0" applyAlignment="1">
      <alignment horizontal="left"/>
    </xf>
    <xf numFmtId="1" fontId="0" fillId="0" borderId="0" xfId="0" applyNumberFormat="1"/>
    <xf numFmtId="169" fontId="0" fillId="0" borderId="0" xfId="0" applyNumberFormat="1"/>
    <xf numFmtId="1" fontId="0" fillId="0" borderId="1" xfId="0" applyNumberFormat="1" applyBorder="1"/>
    <xf numFmtId="169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6" borderId="0" xfId="0" applyFill="1"/>
    <xf numFmtId="0" fontId="6" fillId="6" borderId="0" xfId="0" applyFont="1" applyFill="1"/>
    <xf numFmtId="0" fontId="0" fillId="6" borderId="0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21" fillId="0" borderId="0" xfId="0" applyFont="1"/>
    <xf numFmtId="0" fontId="0" fillId="0" borderId="0" xfId="0" applyFill="1" applyBorder="1"/>
    <xf numFmtId="0" fontId="6" fillId="7" borderId="0" xfId="0" applyFont="1" applyFill="1"/>
    <xf numFmtId="165" fontId="0" fillId="7" borderId="0" xfId="0" applyNumberFormat="1" applyFill="1" applyAlignment="1">
      <alignment horizontal="center"/>
    </xf>
    <xf numFmtId="1" fontId="0" fillId="0" borderId="0" xfId="0" applyNumberFormat="1" applyBorder="1"/>
    <xf numFmtId="3" fontId="20" fillId="0" borderId="0" xfId="0" applyNumberFormat="1" applyFont="1"/>
    <xf numFmtId="0" fontId="20" fillId="0" borderId="0" xfId="0" applyFont="1"/>
    <xf numFmtId="0" fontId="0" fillId="0" borderId="0" xfId="0" applyFont="1" applyAlignment="1">
      <alignment horizontal="center"/>
    </xf>
    <xf numFmtId="0" fontId="18" fillId="0" borderId="0" xfId="0" applyFont="1"/>
    <xf numFmtId="0" fontId="0" fillId="0" borderId="0" xfId="0" applyBorder="1" applyAlignment="1">
      <alignment horizontal="right"/>
    </xf>
    <xf numFmtId="3" fontId="20" fillId="0" borderId="0" xfId="0" applyNumberFormat="1" applyFont="1" applyBorder="1"/>
    <xf numFmtId="0" fontId="0" fillId="0" borderId="16" xfId="0" applyBorder="1"/>
    <xf numFmtId="0" fontId="0" fillId="0" borderId="16" xfId="0" applyBorder="1" applyAlignment="1">
      <alignment horizontal="right"/>
    </xf>
    <xf numFmtId="3" fontId="20" fillId="0" borderId="16" xfId="0" applyNumberFormat="1" applyFont="1" applyBorder="1"/>
    <xf numFmtId="0" fontId="20" fillId="0" borderId="0" xfId="0" applyFont="1" applyAlignment="1">
      <alignment horizontal="center"/>
    </xf>
    <xf numFmtId="165" fontId="20" fillId="0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4" xfId="0" applyFont="1" applyBorder="1"/>
    <xf numFmtId="165" fontId="0" fillId="0" borderId="14" xfId="0" applyNumberFormat="1" applyBorder="1" applyAlignment="1">
      <alignment horizontal="center"/>
    </xf>
    <xf numFmtId="1" fontId="0" fillId="0" borderId="14" xfId="0" applyNumberFormat="1" applyBorder="1"/>
    <xf numFmtId="0" fontId="0" fillId="0" borderId="14" xfId="0" applyFill="1" applyBorder="1"/>
    <xf numFmtId="0" fontId="6" fillId="7" borderId="14" xfId="0" applyFont="1" applyFill="1" applyBorder="1"/>
    <xf numFmtId="165" fontId="0" fillId="7" borderId="14" xfId="0" applyNumberFormat="1" applyFill="1" applyBorder="1" applyAlignment="1">
      <alignment horizontal="center"/>
    </xf>
    <xf numFmtId="0" fontId="0" fillId="0" borderId="7" xfId="0" applyBorder="1"/>
    <xf numFmtId="0" fontId="0" fillId="0" borderId="3" xfId="0" applyBorder="1" applyAlignment="1">
      <alignment horizontal="right"/>
    </xf>
    <xf numFmtId="3" fontId="20" fillId="0" borderId="3" xfId="0" applyNumberFormat="1" applyFont="1" applyBorder="1"/>
    <xf numFmtId="3" fontId="20" fillId="0" borderId="9" xfId="0" applyNumberFormat="1" applyFont="1" applyBorder="1"/>
    <xf numFmtId="4" fontId="0" fillId="0" borderId="0" xfId="0" applyNumberFormat="1"/>
    <xf numFmtId="10" fontId="6" fillId="0" borderId="0" xfId="41" applyNumberFormat="1" applyFont="1" applyFill="1" applyBorder="1"/>
    <xf numFmtId="166" fontId="0" fillId="0" borderId="0" xfId="0" applyNumberFormat="1" applyAlignment="1">
      <alignment wrapText="1"/>
    </xf>
    <xf numFmtId="9" fontId="0" fillId="0" borderId="0" xfId="1" applyFont="1"/>
    <xf numFmtId="3" fontId="0" fillId="5" borderId="0" xfId="0" applyNumberFormat="1" applyFill="1" applyBorder="1"/>
    <xf numFmtId="9" fontId="0" fillId="5" borderId="0" xfId="1" applyFont="1" applyFill="1"/>
    <xf numFmtId="169" fontId="0" fillId="5" borderId="0" xfId="0" applyNumberFormat="1" applyFont="1" applyFill="1" applyBorder="1" applyAlignment="1">
      <alignment horizontal="center"/>
    </xf>
    <xf numFmtId="169" fontId="0" fillId="0" borderId="0" xfId="0" applyNumberFormat="1" applyFill="1" applyBorder="1"/>
    <xf numFmtId="169" fontId="0" fillId="0" borderId="0" xfId="0" applyNumberFormat="1" applyFont="1" applyFill="1" applyBorder="1"/>
    <xf numFmtId="165" fontId="0" fillId="0" borderId="0" xfId="0" applyNumberFormat="1"/>
    <xf numFmtId="165" fontId="0" fillId="5" borderId="0" xfId="0" applyNumberFormat="1" applyFill="1"/>
    <xf numFmtId="169" fontId="0" fillId="5" borderId="0" xfId="0" applyNumberFormat="1" applyFont="1" applyFill="1" applyBorder="1"/>
    <xf numFmtId="0" fontId="0" fillId="0" borderId="17" xfId="0" applyBorder="1"/>
    <xf numFmtId="169" fontId="0" fillId="0" borderId="18" xfId="0" applyNumberFormat="1" applyBorder="1"/>
    <xf numFmtId="0" fontId="0" fillId="0" borderId="18" xfId="0" applyBorder="1"/>
    <xf numFmtId="165" fontId="0" fillId="0" borderId="19" xfId="0" applyNumberFormat="1" applyBorder="1"/>
    <xf numFmtId="165" fontId="0" fillId="5" borderId="0" xfId="0" applyNumberFormat="1" applyFill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6" fontId="6" fillId="5" borderId="0" xfId="0" applyNumberFormat="1" applyFont="1" applyFill="1" applyAlignment="1">
      <alignment horizontal="center"/>
    </xf>
    <xf numFmtId="167" fontId="6" fillId="0" borderId="0" xfId="0" applyNumberFormat="1" applyFont="1"/>
    <xf numFmtId="166" fontId="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left"/>
    </xf>
    <xf numFmtId="16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" xfId="0" applyFont="1" applyBorder="1"/>
    <xf numFmtId="167" fontId="0" fillId="0" borderId="1" xfId="0" applyNumberFormat="1" applyBorder="1" applyAlignment="1">
      <alignment horizontal="center"/>
    </xf>
    <xf numFmtId="165" fontId="6" fillId="0" borderId="10" xfId="0" applyNumberFormat="1" applyFont="1" applyBorder="1"/>
    <xf numFmtId="165" fontId="6" fillId="0" borderId="0" xfId="0" applyNumberFormat="1" applyFont="1" applyBorder="1"/>
    <xf numFmtId="171" fontId="0" fillId="0" borderId="0" xfId="0" applyNumberFormat="1" applyAlignment="1">
      <alignment horizontal="center"/>
    </xf>
    <xf numFmtId="3" fontId="0" fillId="4" borderId="0" xfId="0" applyNumberFormat="1" applyFill="1" applyBorder="1"/>
    <xf numFmtId="169" fontId="0" fillId="4" borderId="0" xfId="0" applyNumberFormat="1" applyFont="1" applyFill="1" applyBorder="1"/>
    <xf numFmtId="169" fontId="0" fillId="4" borderId="0" xfId="0" applyNumberFormat="1" applyFont="1" applyFill="1" applyBorder="1" applyAlignment="1">
      <alignment horizontal="center"/>
    </xf>
    <xf numFmtId="1" fontId="6" fillId="8" borderId="10" xfId="0" applyNumberFormat="1" applyFont="1" applyFill="1" applyBorder="1"/>
    <xf numFmtId="1" fontId="0" fillId="4" borderId="0" xfId="0" applyNumberFormat="1" applyFill="1" applyBorder="1"/>
    <xf numFmtId="1" fontId="6" fillId="8" borderId="19" xfId="0" applyNumberFormat="1" applyFont="1" applyFill="1" applyBorder="1"/>
    <xf numFmtId="3" fontId="0" fillId="0" borderId="3" xfId="0" applyNumberFormat="1" applyBorder="1"/>
    <xf numFmtId="1" fontId="6" fillId="8" borderId="20" xfId="0" applyNumberFormat="1" applyFont="1" applyFill="1" applyBorder="1"/>
    <xf numFmtId="166" fontId="0" fillId="0" borderId="0" xfId="0" applyNumberFormat="1" applyAlignment="1">
      <alignment horizontal="center" wrapText="1"/>
    </xf>
    <xf numFmtId="9" fontId="0" fillId="0" borderId="0" xfId="1" applyFont="1" applyFill="1"/>
    <xf numFmtId="166" fontId="0" fillId="0" borderId="11" xfId="0" applyNumberFormat="1" applyBorder="1" applyAlignment="1">
      <alignment wrapText="1"/>
    </xf>
    <xf numFmtId="166" fontId="0" fillId="0" borderId="12" xfId="0" applyNumberFormat="1" applyBorder="1" applyAlignment="1">
      <alignment wrapText="1"/>
    </xf>
    <xf numFmtId="164" fontId="6" fillId="0" borderId="15" xfId="0" applyNumberFormat="1" applyFont="1" applyBorder="1"/>
    <xf numFmtId="0" fontId="0" fillId="0" borderId="3" xfId="0" applyBorder="1"/>
    <xf numFmtId="0" fontId="23" fillId="0" borderId="0" xfId="0" applyFont="1"/>
    <xf numFmtId="0" fontId="23" fillId="0" borderId="0" xfId="0" applyFont="1" applyFill="1" applyAlignment="1">
      <alignment vertical="center"/>
    </xf>
    <xf numFmtId="0" fontId="24" fillId="0" borderId="0" xfId="40" applyFont="1"/>
    <xf numFmtId="0" fontId="23" fillId="0" borderId="0" xfId="0" applyFont="1" applyFill="1" applyBorder="1"/>
    <xf numFmtId="0" fontId="17" fillId="11" borderId="2" xfId="0" applyFont="1" applyFill="1" applyBorder="1" applyAlignment="1">
      <alignment horizontal="center" wrapText="1"/>
    </xf>
    <xf numFmtId="2" fontId="26" fillId="11" borderId="0" xfId="0" applyNumberFormat="1" applyFont="1" applyFill="1" applyAlignment="1">
      <alignment horizontal="center" wrapText="1"/>
    </xf>
    <xf numFmtId="0" fontId="17" fillId="13" borderId="0" xfId="0" applyFont="1" applyFill="1" applyAlignment="1">
      <alignment horizontal="center" wrapText="1"/>
    </xf>
    <xf numFmtId="0" fontId="6" fillId="12" borderId="0" xfId="0" applyFont="1" applyFill="1" applyAlignment="1">
      <alignment wrapText="1"/>
    </xf>
    <xf numFmtId="0" fontId="7" fillId="9" borderId="24" xfId="0" applyFont="1" applyFill="1" applyBorder="1" applyAlignment="1">
      <alignment horizontal="center" wrapText="1"/>
    </xf>
    <xf numFmtId="0" fontId="6" fillId="11" borderId="7" xfId="0" applyFont="1" applyFill="1" applyBorder="1" applyAlignment="1">
      <alignment horizontal="center" wrapText="1"/>
    </xf>
    <xf numFmtId="2" fontId="6" fillId="9" borderId="25" xfId="0" applyNumberFormat="1" applyFont="1" applyFill="1" applyBorder="1" applyAlignment="1">
      <alignment horizontal="center" wrapText="1"/>
    </xf>
    <xf numFmtId="2" fontId="6" fillId="11" borderId="26" xfId="0" applyNumberFormat="1" applyFont="1" applyFill="1" applyBorder="1" applyAlignment="1">
      <alignment wrapText="1"/>
    </xf>
    <xf numFmtId="0" fontId="0" fillId="4" borderId="0" xfId="0" applyFill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14" borderId="0" xfId="0" applyFill="1" applyAlignment="1">
      <alignment horizontal="center" wrapText="1"/>
    </xf>
    <xf numFmtId="2" fontId="6" fillId="5" borderId="26" xfId="0" applyNumberFormat="1" applyFont="1" applyFill="1" applyBorder="1" applyAlignment="1">
      <alignment wrapText="1"/>
    </xf>
    <xf numFmtId="0" fontId="0" fillId="14" borderId="0" xfId="0" applyFill="1"/>
    <xf numFmtId="0" fontId="0" fillId="2" borderId="0" xfId="0" applyFill="1" applyAlignment="1">
      <alignment wrapText="1"/>
    </xf>
    <xf numFmtId="0" fontId="0" fillId="11" borderId="0" xfId="0" applyFill="1" applyAlignment="1">
      <alignment horizontal="center" wrapText="1"/>
    </xf>
    <xf numFmtId="0" fontId="0" fillId="14" borderId="0" xfId="0" applyFill="1" applyBorder="1" applyAlignment="1">
      <alignment wrapText="1"/>
    </xf>
    <xf numFmtId="0" fontId="6" fillId="5" borderId="0" xfId="0" applyFont="1" applyFill="1" applyAlignment="1">
      <alignment wrapText="1"/>
    </xf>
    <xf numFmtId="0" fontId="6" fillId="5" borderId="0" xfId="0" applyFont="1" applyFill="1" applyBorder="1" applyAlignment="1">
      <alignment wrapText="1"/>
    </xf>
    <xf numFmtId="0" fontId="26" fillId="0" borderId="0" xfId="0" applyFont="1"/>
    <xf numFmtId="0" fontId="0" fillId="0" borderId="0" xfId="0" applyFont="1" applyFill="1" applyBorder="1"/>
    <xf numFmtId="0" fontId="0" fillId="0" borderId="0" xfId="0" applyFill="1"/>
    <xf numFmtId="0" fontId="6" fillId="0" borderId="27" xfId="0" applyFont="1" applyFill="1" applyBorder="1"/>
    <xf numFmtId="0" fontId="6" fillId="0" borderId="28" xfId="0" applyFont="1" applyFill="1" applyBorder="1" applyAlignment="1">
      <alignment horizontal="center"/>
    </xf>
    <xf numFmtId="0" fontId="29" fillId="0" borderId="28" xfId="0" applyFont="1" applyFill="1" applyBorder="1"/>
    <xf numFmtId="0" fontId="0" fillId="0" borderId="32" xfId="0" applyFont="1" applyFill="1" applyBorder="1"/>
    <xf numFmtId="0" fontId="0" fillId="0" borderId="10" xfId="0" applyFill="1" applyBorder="1"/>
    <xf numFmtId="0" fontId="0" fillId="0" borderId="10" xfId="0" applyBorder="1"/>
    <xf numFmtId="167" fontId="6" fillId="2" borderId="33" xfId="0" applyNumberFormat="1" applyFont="1" applyFill="1" applyBorder="1" applyAlignment="1">
      <alignment horizontal="center"/>
    </xf>
    <xf numFmtId="2" fontId="6" fillId="0" borderId="0" xfId="0" applyNumberFormat="1" applyFont="1" applyAlignment="1">
      <alignment wrapText="1"/>
    </xf>
    <xf numFmtId="2" fontId="0" fillId="0" borderId="32" xfId="0" applyNumberFormat="1" applyFont="1" applyFill="1" applyBorder="1"/>
    <xf numFmtId="2" fontId="0" fillId="0" borderId="10" xfId="0" applyNumberFormat="1" applyFill="1" applyBorder="1"/>
    <xf numFmtId="167" fontId="6" fillId="10" borderId="33" xfId="0" applyNumberFormat="1" applyFont="1" applyFill="1" applyBorder="1" applyAlignment="1">
      <alignment horizontal="center"/>
    </xf>
    <xf numFmtId="166" fontId="6" fillId="0" borderId="0" xfId="0" applyNumberFormat="1" applyFont="1" applyBorder="1"/>
    <xf numFmtId="164" fontId="0" fillId="0" borderId="0" xfId="0" applyNumberFormat="1" applyBorder="1" applyAlignment="1">
      <alignment horizontal="center" vertical="center"/>
    </xf>
    <xf numFmtId="0" fontId="0" fillId="0" borderId="34" xfId="0" applyFont="1" applyFill="1" applyBorder="1"/>
    <xf numFmtId="0" fontId="0" fillId="0" borderId="20" xfId="0" applyBorder="1"/>
    <xf numFmtId="167" fontId="6" fillId="0" borderId="35" xfId="0" applyNumberFormat="1" applyFont="1" applyFill="1" applyBorder="1" applyAlignment="1">
      <alignment horizontal="center"/>
    </xf>
    <xf numFmtId="9" fontId="0" fillId="0" borderId="0" xfId="0" applyNumberFormat="1" applyBorder="1" applyAlignment="1">
      <alignment horizontal="center" vertical="center"/>
    </xf>
    <xf numFmtId="166" fontId="0" fillId="0" borderId="1" xfId="0" applyNumberFormat="1" applyBorder="1"/>
    <xf numFmtId="0" fontId="31" fillId="0" borderId="31" xfId="0" applyFont="1" applyFill="1" applyBorder="1" applyAlignment="1">
      <alignment vertical="center"/>
    </xf>
    <xf numFmtId="0" fontId="31" fillId="0" borderId="31" xfId="0" applyFont="1" applyFill="1" applyBorder="1" applyAlignment="1">
      <alignment horizontal="right" vertical="center"/>
    </xf>
    <xf numFmtId="0" fontId="6" fillId="11" borderId="0" xfId="0" applyFont="1" applyFill="1" applyBorder="1"/>
    <xf numFmtId="0" fontId="0" fillId="11" borderId="0" xfId="0" applyFill="1"/>
    <xf numFmtId="0" fontId="0" fillId="11" borderId="2" xfId="0" applyFill="1" applyBorder="1"/>
    <xf numFmtId="0" fontId="6" fillId="0" borderId="0" xfId="0" quotePrefix="1" applyFont="1"/>
    <xf numFmtId="166" fontId="6" fillId="4" borderId="0" xfId="0" applyNumberFormat="1" applyFont="1" applyFill="1" applyBorder="1"/>
    <xf numFmtId="166" fontId="0" fillId="11" borderId="0" xfId="0" applyNumberFormat="1" applyFill="1"/>
    <xf numFmtId="166" fontId="6" fillId="4" borderId="0" xfId="0" applyNumberFormat="1" applyFont="1" applyFill="1"/>
    <xf numFmtId="166" fontId="6" fillId="6" borderId="0" xfId="0" applyNumberFormat="1" applyFont="1" applyFill="1"/>
    <xf numFmtId="166" fontId="0" fillId="14" borderId="0" xfId="0" applyNumberFormat="1" applyFill="1"/>
    <xf numFmtId="0" fontId="0" fillId="9" borderId="0" xfId="0" applyFill="1" applyAlignment="1">
      <alignment horizontal="center" wrapText="1"/>
    </xf>
    <xf numFmtId="0" fontId="26" fillId="2" borderId="0" xfId="0" applyFont="1" applyFill="1" applyAlignment="1">
      <alignment horizontal="center"/>
    </xf>
    <xf numFmtId="0" fontId="0" fillId="10" borderId="0" xfId="0" applyFill="1" applyAlignment="1">
      <alignment horizontal="center" wrapText="1"/>
    </xf>
    <xf numFmtId="0" fontId="0" fillId="11" borderId="2" xfId="0" applyFill="1" applyBorder="1" applyAlignment="1">
      <alignment wrapText="1"/>
    </xf>
    <xf numFmtId="0" fontId="0" fillId="0" borderId="36" xfId="0" applyBorder="1"/>
    <xf numFmtId="0" fontId="0" fillId="0" borderId="9" xfId="0" applyBorder="1"/>
    <xf numFmtId="166" fontId="32" fillId="9" borderId="4" xfId="0" applyNumberFormat="1" applyFont="1" applyFill="1" applyBorder="1"/>
    <xf numFmtId="9" fontId="0" fillId="0" borderId="0" xfId="0" applyNumberFormat="1" applyAlignment="1">
      <alignment horizontal="center"/>
    </xf>
    <xf numFmtId="2" fontId="0" fillId="0" borderId="14" xfId="0" applyNumberFormat="1" applyFill="1" applyBorder="1" applyAlignment="1">
      <alignment wrapText="1"/>
    </xf>
    <xf numFmtId="0" fontId="28" fillId="0" borderId="14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167" fontId="33" fillId="2" borderId="0" xfId="0" applyNumberFormat="1" applyFont="1" applyFill="1" applyAlignment="1">
      <alignment horizontal="center"/>
    </xf>
    <xf numFmtId="0" fontId="6" fillId="9" borderId="0" xfId="0" applyFont="1" applyFill="1"/>
    <xf numFmtId="167" fontId="10" fillId="10" borderId="0" xfId="0" applyNumberFormat="1" applyFont="1" applyFill="1" applyAlignment="1">
      <alignment horizontal="center"/>
    </xf>
    <xf numFmtId="167" fontId="10" fillId="11" borderId="2" xfId="0" applyNumberFormat="1" applyFont="1" applyFill="1" applyBorder="1" applyAlignment="1">
      <alignment horizontal="center"/>
    </xf>
    <xf numFmtId="0" fontId="26" fillId="12" borderId="0" xfId="0" applyFont="1" applyFill="1" applyBorder="1" applyAlignment="1">
      <alignment horizontal="center" wrapText="1"/>
    </xf>
    <xf numFmtId="0" fontId="0" fillId="13" borderId="32" xfId="0" applyFill="1" applyBorder="1" applyAlignment="1">
      <alignment horizontal="center" wrapText="1"/>
    </xf>
    <xf numFmtId="2" fontId="0" fillId="11" borderId="21" xfId="0" applyNumberFormat="1" applyFill="1" applyBorder="1" applyAlignment="1">
      <alignment horizontal="center" wrapText="1"/>
    </xf>
    <xf numFmtId="2" fontId="6" fillId="4" borderId="25" xfId="0" applyNumberFormat="1" applyFont="1" applyFill="1" applyBorder="1" applyAlignment="1">
      <alignment horizontal="center" wrapText="1"/>
    </xf>
    <xf numFmtId="2" fontId="6" fillId="4" borderId="6" xfId="0" applyNumberFormat="1" applyFont="1" applyFill="1" applyBorder="1" applyAlignment="1">
      <alignment wrapText="1"/>
    </xf>
    <xf numFmtId="0" fontId="6" fillId="6" borderId="6" xfId="0" applyFont="1" applyFill="1" applyBorder="1"/>
    <xf numFmtId="0" fontId="6" fillId="14" borderId="24" xfId="0" applyFont="1" applyFill="1" applyBorder="1"/>
    <xf numFmtId="2" fontId="6" fillId="4" borderId="6" xfId="0" applyNumberFormat="1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wrapText="1"/>
    </xf>
    <xf numFmtId="2" fontId="6" fillId="14" borderId="7" xfId="0" applyNumberFormat="1" applyFont="1" applyFill="1" applyBorder="1" applyAlignment="1">
      <alignment wrapText="1"/>
    </xf>
    <xf numFmtId="2" fontId="6" fillId="4" borderId="5" xfId="0" applyNumberFormat="1" applyFont="1" applyFill="1" applyBorder="1" applyAlignment="1">
      <alignment wrapText="1"/>
    </xf>
    <xf numFmtId="2" fontId="6" fillId="2" borderId="4" xfId="0" applyNumberFormat="1" applyFont="1" applyFill="1" applyBorder="1" applyAlignment="1">
      <alignment wrapText="1"/>
    </xf>
    <xf numFmtId="0" fontId="6" fillId="11" borderId="25" xfId="0" applyFont="1" applyFill="1" applyBorder="1" applyAlignment="1">
      <alignment wrapText="1"/>
    </xf>
    <xf numFmtId="2" fontId="6" fillId="6" borderId="25" xfId="0" applyNumberFormat="1" applyFont="1" applyFill="1" applyBorder="1" applyAlignment="1">
      <alignment wrapText="1"/>
    </xf>
    <xf numFmtId="166" fontId="0" fillId="0" borderId="0" xfId="0" applyNumberFormat="1" applyFill="1"/>
    <xf numFmtId="166" fontId="26" fillId="0" borderId="0" xfId="0" applyNumberFormat="1" applyFont="1"/>
    <xf numFmtId="166" fontId="34" fillId="0" borderId="0" xfId="0" applyNumberFormat="1" applyFont="1" applyBorder="1"/>
    <xf numFmtId="166" fontId="35" fillId="0" borderId="0" xfId="0" applyNumberFormat="1" applyFont="1" applyBorder="1"/>
    <xf numFmtId="166" fontId="36" fillId="0" borderId="39" xfId="0" applyNumberFormat="1" applyFont="1" applyBorder="1" applyAlignment="1">
      <alignment horizontal="center"/>
    </xf>
    <xf numFmtId="166" fontId="0" fillId="0" borderId="21" xfId="0" applyNumberFormat="1" applyBorder="1"/>
    <xf numFmtId="166" fontId="6" fillId="0" borderId="40" xfId="0" applyNumberFormat="1" applyFont="1" applyBorder="1"/>
    <xf numFmtId="166" fontId="0" fillId="0" borderId="0" xfId="0" applyNumberFormat="1" applyFont="1"/>
    <xf numFmtId="166" fontId="37" fillId="0" borderId="2" xfId="0" applyNumberFormat="1" applyFont="1" applyBorder="1"/>
    <xf numFmtId="166" fontId="34" fillId="0" borderId="21" xfId="0" applyNumberFormat="1" applyFont="1" applyBorder="1"/>
    <xf numFmtId="166" fontId="0" fillId="0" borderId="22" xfId="0" applyNumberFormat="1" applyBorder="1"/>
    <xf numFmtId="166" fontId="0" fillId="0" borderId="41" xfId="0" applyNumberFormat="1" applyBorder="1"/>
    <xf numFmtId="166" fontId="0" fillId="0" borderId="0" xfId="0" applyNumberFormat="1" applyFill="1" applyBorder="1"/>
    <xf numFmtId="166" fontId="0" fillId="0" borderId="2" xfId="0" applyNumberFormat="1" applyFill="1" applyBorder="1"/>
    <xf numFmtId="166" fontId="0" fillId="0" borderId="39" xfId="0" applyNumberFormat="1" applyBorder="1"/>
    <xf numFmtId="164" fontId="0" fillId="0" borderId="22" xfId="0" applyNumberFormat="1" applyBorder="1" applyAlignment="1">
      <alignment horizontal="center"/>
    </xf>
    <xf numFmtId="9" fontId="0" fillId="0" borderId="22" xfId="0" applyNumberFormat="1" applyBorder="1" applyAlignment="1">
      <alignment horizontal="center"/>
    </xf>
    <xf numFmtId="9" fontId="0" fillId="0" borderId="0" xfId="188" applyNumberFormat="1" applyFont="1" applyFill="1" applyBorder="1"/>
    <xf numFmtId="3" fontId="0" fillId="0" borderId="0" xfId="0" applyNumberFormat="1" applyFont="1" applyFill="1" applyBorder="1"/>
    <xf numFmtId="3" fontId="0" fillId="0" borderId="14" xfId="0" applyNumberFormat="1" applyBorder="1"/>
    <xf numFmtId="166" fontId="0" fillId="0" borderId="14" xfId="0" applyNumberFormat="1" applyFill="1" applyBorder="1"/>
    <xf numFmtId="166" fontId="0" fillId="0" borderId="14" xfId="0" applyNumberFormat="1" applyBorder="1"/>
    <xf numFmtId="166" fontId="0" fillId="0" borderId="42" xfId="0" applyNumberFormat="1" applyBorder="1"/>
    <xf numFmtId="166" fontId="26" fillId="0" borderId="14" xfId="0" applyNumberFormat="1" applyFont="1" applyBorder="1"/>
    <xf numFmtId="166" fontId="36" fillId="0" borderId="37" xfId="0" applyNumberFormat="1" applyFont="1" applyBorder="1" applyAlignment="1">
      <alignment horizontal="center"/>
    </xf>
    <xf numFmtId="166" fontId="6" fillId="0" borderId="43" xfId="0" applyNumberFormat="1" applyFont="1" applyBorder="1"/>
    <xf numFmtId="166" fontId="0" fillId="0" borderId="38" xfId="0" applyNumberFormat="1" applyBorder="1"/>
    <xf numFmtId="166" fontId="0" fillId="0" borderId="44" xfId="0" applyNumberFormat="1" applyBorder="1"/>
    <xf numFmtId="166" fontId="0" fillId="0" borderId="36" xfId="0" applyNumberFormat="1" applyBorder="1"/>
    <xf numFmtId="166" fontId="0" fillId="0" borderId="37" xfId="0" applyNumberFormat="1" applyBorder="1"/>
    <xf numFmtId="9" fontId="0" fillId="0" borderId="38" xfId="0" applyNumberFormat="1" applyBorder="1" applyAlignment="1">
      <alignment horizontal="center"/>
    </xf>
    <xf numFmtId="164" fontId="0" fillId="0" borderId="0" xfId="188" applyNumberFormat="1" applyFont="1" applyFill="1" applyBorder="1"/>
    <xf numFmtId="164" fontId="0" fillId="2" borderId="22" xfId="0" applyNumberFormat="1" applyFill="1" applyBorder="1" applyAlignment="1">
      <alignment horizontal="center"/>
    </xf>
    <xf numFmtId="10" fontId="0" fillId="0" borderId="0" xfId="188" applyNumberFormat="1" applyFont="1" applyFill="1" applyBorder="1"/>
    <xf numFmtId="166" fontId="0" fillId="0" borderId="23" xfId="0" applyNumberFormat="1" applyFill="1" applyBorder="1"/>
    <xf numFmtId="10" fontId="0" fillId="5" borderId="0" xfId="188" applyNumberFormat="1" applyFont="1" applyFill="1" applyBorder="1"/>
    <xf numFmtId="3" fontId="0" fillId="5" borderId="0" xfId="0" applyNumberFormat="1" applyFont="1" applyFill="1" applyBorder="1"/>
    <xf numFmtId="166" fontId="0" fillId="0" borderId="39" xfId="0" applyNumberFormat="1" applyBorder="1" applyAlignment="1">
      <alignment horizontal="center"/>
    </xf>
    <xf numFmtId="166" fontId="6" fillId="0" borderId="21" xfId="0" applyNumberFormat="1" applyFont="1" applyBorder="1"/>
    <xf numFmtId="3" fontId="0" fillId="3" borderId="2" xfId="0" applyNumberFormat="1" applyFill="1" applyBorder="1"/>
    <xf numFmtId="10" fontId="0" fillId="5" borderId="1" xfId="188" applyNumberFormat="1" applyFont="1" applyFill="1" applyBorder="1"/>
    <xf numFmtId="3" fontId="0" fillId="5" borderId="1" xfId="0" applyNumberFormat="1" applyFont="1" applyFill="1" applyBorder="1"/>
    <xf numFmtId="166" fontId="0" fillId="0" borderId="45" xfId="0" applyNumberFormat="1" applyBorder="1"/>
    <xf numFmtId="166" fontId="26" fillId="0" borderId="1" xfId="0" applyNumberFormat="1" applyFont="1" applyBorder="1"/>
    <xf numFmtId="166" fontId="34" fillId="0" borderId="1" xfId="0" applyNumberFormat="1" applyFont="1" applyBorder="1"/>
    <xf numFmtId="166" fontId="35" fillId="0" borderId="1" xfId="0" applyNumberFormat="1" applyFont="1" applyBorder="1"/>
    <xf numFmtId="166" fontId="0" fillId="0" borderId="46" xfId="0" applyNumberFormat="1" applyBorder="1" applyAlignment="1">
      <alignment horizontal="center"/>
    </xf>
    <xf numFmtId="166" fontId="0" fillId="0" borderId="47" xfId="0" applyNumberFormat="1" applyBorder="1"/>
    <xf numFmtId="166" fontId="6" fillId="0" borderId="47" xfId="0" applyNumberFormat="1" applyFont="1" applyBorder="1"/>
    <xf numFmtId="166" fontId="37" fillId="0" borderId="45" xfId="0" applyNumberFormat="1" applyFont="1" applyBorder="1"/>
    <xf numFmtId="166" fontId="34" fillId="0" borderId="47" xfId="0" applyNumberFormat="1" applyFont="1" applyBorder="1"/>
    <xf numFmtId="166" fontId="0" fillId="0" borderId="48" xfId="0" applyNumberFormat="1" applyBorder="1"/>
    <xf numFmtId="166" fontId="0" fillId="0" borderId="49" xfId="0" applyNumberFormat="1" applyBorder="1"/>
    <xf numFmtId="166" fontId="0" fillId="0" borderId="50" xfId="0" applyNumberFormat="1" applyFill="1" applyBorder="1"/>
    <xf numFmtId="166" fontId="0" fillId="0" borderId="1" xfId="0" applyNumberFormat="1" applyFill="1" applyBorder="1"/>
    <xf numFmtId="166" fontId="0" fillId="0" borderId="45" xfId="0" applyNumberFormat="1" applyFill="1" applyBorder="1"/>
    <xf numFmtId="166" fontId="0" fillId="0" borderId="46" xfId="0" applyNumberFormat="1" applyBorder="1"/>
    <xf numFmtId="0" fontId="6" fillId="0" borderId="0" xfId="0" applyFont="1" applyBorder="1"/>
    <xf numFmtId="3" fontId="0" fillId="0" borderId="2" xfId="0" applyNumberFormat="1" applyBorder="1"/>
    <xf numFmtId="166" fontId="7" fillId="0" borderId="0" xfId="0" applyNumberFormat="1" applyFont="1" applyBorder="1"/>
    <xf numFmtId="166" fontId="0" fillId="12" borderId="0" xfId="0" applyNumberFormat="1" applyFill="1" applyBorder="1"/>
    <xf numFmtId="166" fontId="20" fillId="0" borderId="0" xfId="0" applyNumberFormat="1" applyFont="1" applyFill="1" applyBorder="1"/>
    <xf numFmtId="166" fontId="6" fillId="0" borderId="39" xfId="0" applyNumberFormat="1" applyFont="1" applyBorder="1"/>
    <xf numFmtId="166" fontId="6" fillId="6" borderId="0" xfId="0" applyNumberFormat="1" applyFont="1" applyFill="1" applyBorder="1" applyAlignment="1">
      <alignment horizontal="center"/>
    </xf>
    <xf numFmtId="166" fontId="6" fillId="8" borderId="21" xfId="0" applyNumberFormat="1" applyFont="1" applyFill="1" applyBorder="1"/>
    <xf numFmtId="166" fontId="26" fillId="0" borderId="39" xfId="0" applyNumberFormat="1" applyFont="1" applyBorder="1"/>
    <xf numFmtId="166" fontId="0" fillId="4" borderId="0" xfId="0" applyNumberFormat="1" applyFill="1" applyBorder="1"/>
    <xf numFmtId="166" fontId="0" fillId="6" borderId="0" xfId="0" applyNumberFormat="1" applyFill="1" applyBorder="1"/>
    <xf numFmtId="166" fontId="0" fillId="5" borderId="2" xfId="0" applyNumberFormat="1" applyFill="1" applyBorder="1"/>
    <xf numFmtId="166" fontId="0" fillId="5" borderId="21" xfId="0" applyNumberFormat="1" applyFill="1" applyBorder="1"/>
    <xf numFmtId="166" fontId="6" fillId="4" borderId="39" xfId="0" applyNumberFormat="1" applyFont="1" applyFill="1" applyBorder="1"/>
    <xf numFmtId="166" fontId="6" fillId="6" borderId="0" xfId="0" applyNumberFormat="1" applyFont="1" applyFill="1" applyBorder="1"/>
    <xf numFmtId="166" fontId="6" fillId="5" borderId="21" xfId="0" applyNumberFormat="1" applyFont="1" applyFill="1" applyBorder="1"/>
    <xf numFmtId="0" fontId="0" fillId="0" borderId="22" xfId="0" applyBorder="1"/>
    <xf numFmtId="166" fontId="6" fillId="6" borderId="22" xfId="0" applyNumberFormat="1" applyFont="1" applyFill="1" applyBorder="1"/>
    <xf numFmtId="0" fontId="38" fillId="0" borderId="0" xfId="0" applyFont="1" applyAlignment="1">
      <alignment horizontal="left"/>
    </xf>
    <xf numFmtId="166" fontId="38" fillId="0" borderId="0" xfId="0" applyNumberFormat="1" applyFont="1" applyAlignment="1">
      <alignment horizontal="right"/>
    </xf>
    <xf numFmtId="3" fontId="0" fillId="0" borderId="45" xfId="0" applyNumberFormat="1" applyBorder="1"/>
    <xf numFmtId="166" fontId="7" fillId="0" borderId="1" xfId="0" applyNumberFormat="1" applyFont="1" applyBorder="1"/>
    <xf numFmtId="166" fontId="20" fillId="0" borderId="1" xfId="0" applyNumberFormat="1" applyFont="1" applyFill="1" applyBorder="1"/>
    <xf numFmtId="0" fontId="6" fillId="0" borderId="46" xfId="0" applyFont="1" applyBorder="1"/>
    <xf numFmtId="166" fontId="26" fillId="0" borderId="46" xfId="0" applyNumberFormat="1" applyFont="1" applyBorder="1"/>
    <xf numFmtId="0" fontId="0" fillId="0" borderId="48" xfId="0" applyBorder="1"/>
    <xf numFmtId="0" fontId="39" fillId="0" borderId="39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/>
    <xf numFmtId="166" fontId="7" fillId="0" borderId="0" xfId="0" applyNumberFormat="1" applyFont="1"/>
    <xf numFmtId="166" fontId="6" fillId="12" borderId="51" xfId="0" applyNumberFormat="1" applyFont="1" applyFill="1" applyBorder="1"/>
    <xf numFmtId="166" fontId="40" fillId="0" borderId="52" xfId="0" applyNumberFormat="1" applyFont="1" applyFill="1" applyBorder="1"/>
    <xf numFmtId="166" fontId="6" fillId="0" borderId="53" xfId="0" applyNumberFormat="1" applyFont="1" applyBorder="1"/>
    <xf numFmtId="166" fontId="6" fillId="0" borderId="52" xfId="0" applyNumberFormat="1" applyFont="1" applyBorder="1"/>
    <xf numFmtId="166" fontId="6" fillId="6" borderId="51" xfId="0" applyNumberFormat="1" applyFont="1" applyFill="1" applyBorder="1" applyAlignment="1">
      <alignment horizontal="center"/>
    </xf>
    <xf numFmtId="166" fontId="6" fillId="8" borderId="52" xfId="0" applyNumberFormat="1" applyFont="1" applyFill="1" applyBorder="1"/>
    <xf numFmtId="166" fontId="6" fillId="0" borderId="3" xfId="0" applyNumberFormat="1" applyFont="1" applyBorder="1"/>
    <xf numFmtId="166" fontId="7" fillId="0" borderId="8" xfId="0" applyNumberFormat="1" applyFont="1" applyBorder="1"/>
    <xf numFmtId="166" fontId="6" fillId="0" borderId="54" xfId="0" applyNumberFormat="1" applyFont="1" applyBorder="1"/>
    <xf numFmtId="166" fontId="6" fillId="4" borderId="3" xfId="0" applyNumberFormat="1" applyFont="1" applyFill="1" applyBorder="1"/>
    <xf numFmtId="166" fontId="6" fillId="6" borderId="3" xfId="0" applyNumberFormat="1" applyFont="1" applyFill="1" applyBorder="1"/>
    <xf numFmtId="166" fontId="6" fillId="5" borderId="55" xfId="0" applyNumberFormat="1" applyFont="1" applyFill="1" applyBorder="1"/>
    <xf numFmtId="166" fontId="6" fillId="5" borderId="9" xfId="0" applyNumberFormat="1" applyFont="1" applyFill="1" applyBorder="1"/>
    <xf numFmtId="166" fontId="6" fillId="4" borderId="8" xfId="0" applyNumberFormat="1" applyFont="1" applyFill="1" applyBorder="1"/>
    <xf numFmtId="164" fontId="0" fillId="2" borderId="56" xfId="0" applyNumberFormat="1" applyFill="1" applyBorder="1" applyAlignment="1">
      <alignment horizontal="center"/>
    </xf>
    <xf numFmtId="9" fontId="0" fillId="0" borderId="56" xfId="0" applyNumberFormat="1" applyBorder="1" applyAlignment="1">
      <alignment horizontal="center"/>
    </xf>
    <xf numFmtId="166" fontId="6" fillId="6" borderId="56" xfId="0" applyNumberFormat="1" applyFont="1" applyFill="1" applyBorder="1"/>
    <xf numFmtId="9" fontId="6" fillId="0" borderId="0" xfId="188" applyFont="1"/>
    <xf numFmtId="0" fontId="25" fillId="11" borderId="22" xfId="0" applyFont="1" applyFill="1" applyBorder="1" applyAlignment="1">
      <alignment horizontal="center" wrapText="1"/>
    </xf>
    <xf numFmtId="167" fontId="26" fillId="0" borderId="30" xfId="0" applyNumberFormat="1" applyFont="1" applyBorder="1" applyAlignment="1">
      <alignment horizontal="center"/>
    </xf>
    <xf numFmtId="3" fontId="0" fillId="0" borderId="2" xfId="0" applyNumberFormat="1" applyFill="1" applyBorder="1"/>
    <xf numFmtId="0" fontId="6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Font="1" applyAlignment="1">
      <alignment horizontal="right"/>
    </xf>
    <xf numFmtId="2" fontId="7" fillId="0" borderId="56" xfId="0" applyNumberFormat="1" applyFont="1" applyFill="1" applyBorder="1" applyAlignment="1">
      <alignment horizontal="center" wrapText="1"/>
    </xf>
    <xf numFmtId="3" fontId="0" fillId="15" borderId="0" xfId="0" applyNumberFormat="1" applyFill="1" applyBorder="1"/>
    <xf numFmtId="3" fontId="0" fillId="15" borderId="1" xfId="0" applyNumberFormat="1" applyFill="1" applyBorder="1"/>
    <xf numFmtId="169" fontId="0" fillId="2" borderId="0" xfId="0" applyNumberFormat="1" applyFont="1" applyFill="1" applyBorder="1"/>
    <xf numFmtId="0" fontId="0" fillId="0" borderId="1" xfId="0" applyFont="1" applyFill="1" applyBorder="1" applyAlignment="1">
      <alignment horizontal="right"/>
    </xf>
    <xf numFmtId="167" fontId="6" fillId="2" borderId="1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quotePrefix="1" applyFont="1"/>
    <xf numFmtId="0" fontId="0" fillId="0" borderId="39" xfId="0" applyBorder="1"/>
    <xf numFmtId="0" fontId="0" fillId="0" borderId="21" xfId="0" applyBorder="1"/>
    <xf numFmtId="0" fontId="0" fillId="0" borderId="1" xfId="0" applyFill="1" applyBorder="1" applyAlignment="1">
      <alignment horizontal="center"/>
    </xf>
    <xf numFmtId="0" fontId="22" fillId="0" borderId="0" xfId="0" applyFont="1" applyAlignment="1">
      <alignment horizontal="left" vertical="center" indent="1"/>
    </xf>
    <xf numFmtId="0" fontId="42" fillId="0" borderId="0" xfId="0" applyFont="1"/>
    <xf numFmtId="0" fontId="43" fillId="0" borderId="0" xfId="0" applyFont="1"/>
    <xf numFmtId="0" fontId="44" fillId="0" borderId="0" xfId="0" applyFont="1"/>
    <xf numFmtId="0" fontId="7" fillId="9" borderId="4" xfId="0" applyFont="1" applyFill="1" applyBorder="1" applyAlignment="1">
      <alignment horizontal="center" wrapText="1"/>
    </xf>
    <xf numFmtId="166" fontId="26" fillId="9" borderId="0" xfId="0" applyNumberFormat="1" applyFont="1" applyFill="1"/>
    <xf numFmtId="0" fontId="0" fillId="9" borderId="0" xfId="0" applyFont="1" applyFill="1" applyBorder="1"/>
    <xf numFmtId="0" fontId="6" fillId="9" borderId="0" xfId="0" applyFont="1" applyFill="1" applyAlignment="1">
      <alignment horizontal="right"/>
    </xf>
    <xf numFmtId="0" fontId="26" fillId="0" borderId="0" xfId="0" applyFont="1" applyBorder="1"/>
    <xf numFmtId="0" fontId="8" fillId="0" borderId="8" xfId="40" applyBorder="1"/>
    <xf numFmtId="0" fontId="26" fillId="0" borderId="3" xfId="0" applyFont="1" applyBorder="1"/>
    <xf numFmtId="0" fontId="6" fillId="0" borderId="0" xfId="0" applyFont="1" applyFill="1" applyBorder="1"/>
    <xf numFmtId="0" fontId="0" fillId="0" borderId="39" xfId="0" quotePrefix="1" applyBorder="1"/>
    <xf numFmtId="0" fontId="26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0" fillId="2" borderId="0" xfId="0" applyFill="1"/>
    <xf numFmtId="165" fontId="20" fillId="2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3" fontId="0" fillId="0" borderId="51" xfId="0" applyNumberFormat="1" applyBorder="1"/>
    <xf numFmtId="3" fontId="6" fillId="0" borderId="0" xfId="0" applyNumberFormat="1" applyFont="1" applyBorder="1"/>
    <xf numFmtId="3" fontId="6" fillId="11" borderId="51" xfId="0" applyNumberFormat="1" applyFont="1" applyFill="1" applyBorder="1"/>
    <xf numFmtId="0" fontId="22" fillId="0" borderId="0" xfId="0" applyFont="1"/>
    <xf numFmtId="166" fontId="6" fillId="0" borderId="0" xfId="0" applyNumberFormat="1" applyFont="1"/>
    <xf numFmtId="0" fontId="0" fillId="0" borderId="1" xfId="0" applyBorder="1" applyAlignment="1">
      <alignment horizontal="right"/>
    </xf>
    <xf numFmtId="0" fontId="46" fillId="0" borderId="0" xfId="0" applyFont="1"/>
    <xf numFmtId="166" fontId="37" fillId="0" borderId="39" xfId="0" applyNumberFormat="1" applyFont="1" applyBorder="1"/>
    <xf numFmtId="3" fontId="26" fillId="0" borderId="0" xfId="0" applyNumberFormat="1" applyFont="1"/>
    <xf numFmtId="169" fontId="26" fillId="0" borderId="0" xfId="0" applyNumberFormat="1" applyFont="1"/>
    <xf numFmtId="165" fontId="47" fillId="2" borderId="0" xfId="0" applyNumberFormat="1" applyFont="1" applyFill="1" applyAlignment="1">
      <alignment horizontal="center"/>
    </xf>
    <xf numFmtId="164" fontId="47" fillId="0" borderId="0" xfId="1" applyNumberFormat="1" applyFont="1" applyAlignment="1">
      <alignment horizontal="center"/>
    </xf>
    <xf numFmtId="0" fontId="48" fillId="0" borderId="0" xfId="0" applyFont="1" applyAlignment="1">
      <alignment horizontal="center"/>
    </xf>
    <xf numFmtId="172" fontId="20" fillId="0" borderId="0" xfId="245" applyNumberFormat="1" applyFont="1"/>
    <xf numFmtId="172" fontId="20" fillId="0" borderId="0" xfId="0" applyNumberFormat="1" applyFont="1"/>
    <xf numFmtId="0" fontId="40" fillId="0" borderId="0" xfId="0" applyFont="1"/>
    <xf numFmtId="172" fontId="20" fillId="0" borderId="0" xfId="245" applyNumberFormat="1" applyFont="1" applyBorder="1"/>
    <xf numFmtId="0" fontId="20" fillId="0" borderId="1" xfId="0" applyFont="1" applyBorder="1"/>
    <xf numFmtId="173" fontId="20" fillId="0" borderId="0" xfId="0" applyNumberFormat="1" applyFont="1"/>
    <xf numFmtId="0" fontId="6" fillId="0" borderId="6" xfId="0" applyFont="1" applyBorder="1" applyAlignment="1">
      <alignment horizontal="right"/>
    </xf>
    <xf numFmtId="17" fontId="6" fillId="0" borderId="6" xfId="0" applyNumberFormat="1" applyFont="1" applyBorder="1" applyAlignment="1">
      <alignment horizontal="right"/>
    </xf>
    <xf numFmtId="165" fontId="0" fillId="7" borderId="1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66" fontId="20" fillId="0" borderId="0" xfId="0" applyNumberFormat="1" applyFont="1"/>
    <xf numFmtId="166" fontId="20" fillId="0" borderId="14" xfId="0" applyNumberFormat="1" applyFont="1" applyBorder="1"/>
    <xf numFmtId="166" fontId="20" fillId="0" borderId="1" xfId="0" applyNumberFormat="1" applyFont="1" applyBorder="1"/>
    <xf numFmtId="166" fontId="6" fillId="0" borderId="0" xfId="0" applyNumberFormat="1" applyFont="1" applyAlignment="1">
      <alignment horizontal="right"/>
    </xf>
    <xf numFmtId="166" fontId="40" fillId="0" borderId="0" xfId="0" applyNumberFormat="1" applyFont="1" applyAlignment="1">
      <alignment horizontal="right"/>
    </xf>
    <xf numFmtId="17" fontId="0" fillId="0" borderId="0" xfId="0" applyNumberFormat="1"/>
    <xf numFmtId="165" fontId="0" fillId="7" borderId="0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12" borderId="4" xfId="0" applyNumberFormat="1" applyFill="1" applyBorder="1" applyAlignment="1">
      <alignment horizontal="center"/>
    </xf>
    <xf numFmtId="3" fontId="0" fillId="2" borderId="0" xfId="0" applyNumberFormat="1" applyFill="1"/>
    <xf numFmtId="167" fontId="6" fillId="0" borderId="0" xfId="0" applyNumberFormat="1" applyFont="1" applyAlignment="1">
      <alignment horizontal="center"/>
    </xf>
    <xf numFmtId="3" fontId="0" fillId="0" borderId="3" xfId="0" applyNumberFormat="1" applyBorder="1" applyAlignment="1">
      <alignment wrapText="1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9" fontId="20" fillId="2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0" fontId="49" fillId="0" borderId="0" xfId="0" applyFont="1"/>
    <xf numFmtId="0" fontId="0" fillId="0" borderId="1" xfId="0" quotePrefix="1" applyBorder="1"/>
    <xf numFmtId="0" fontId="6" fillId="9" borderId="5" xfId="0" applyFont="1" applyFill="1" applyBorder="1"/>
    <xf numFmtId="0" fontId="0" fillId="9" borderId="6" xfId="0" applyFill="1" applyBorder="1"/>
    <xf numFmtId="0" fontId="0" fillId="9" borderId="7" xfId="0" applyFill="1" applyBorder="1"/>
    <xf numFmtId="0" fontId="6" fillId="0" borderId="39" xfId="0" applyFont="1" applyBorder="1"/>
    <xf numFmtId="0" fontId="6" fillId="0" borderId="21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3" fontId="0" fillId="0" borderId="21" xfId="0" applyNumberFormat="1" applyBorder="1"/>
    <xf numFmtId="0" fontId="0" fillId="0" borderId="8" xfId="0" applyBorder="1" applyAlignment="1">
      <alignment horizontal="center"/>
    </xf>
    <xf numFmtId="3" fontId="0" fillId="0" borderId="9" xfId="0" applyNumberFormat="1" applyBorder="1"/>
    <xf numFmtId="0" fontId="6" fillId="16" borderId="5" xfId="0" applyFont="1" applyFill="1" applyBorder="1"/>
    <xf numFmtId="0" fontId="0" fillId="16" borderId="6" xfId="0" applyFill="1" applyBorder="1"/>
    <xf numFmtId="0" fontId="0" fillId="16" borderId="7" xfId="0" applyFill="1" applyBorder="1"/>
    <xf numFmtId="0" fontId="0" fillId="5" borderId="39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0" fillId="9" borderId="0" xfId="0" applyFill="1" applyBorder="1"/>
    <xf numFmtId="0" fontId="6" fillId="9" borderId="0" xfId="0" applyFont="1" applyFill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3" fontId="0" fillId="0" borderId="39" xfId="0" applyNumberFormat="1" applyBorder="1"/>
    <xf numFmtId="3" fontId="0" fillId="6" borderId="0" xfId="0" applyNumberFormat="1" applyFill="1" applyBorder="1"/>
    <xf numFmtId="3" fontId="0" fillId="0" borderId="8" xfId="0" applyNumberFormat="1" applyBorder="1"/>
    <xf numFmtId="3" fontId="0" fillId="6" borderId="3" xfId="0" applyNumberFormat="1" applyFill="1" applyBorder="1"/>
    <xf numFmtId="3" fontId="6" fillId="0" borderId="3" xfId="0" applyNumberFormat="1" applyFont="1" applyBorder="1"/>
    <xf numFmtId="0" fontId="0" fillId="8" borderId="3" xfId="0" applyFont="1" applyFill="1" applyBorder="1" applyAlignment="1">
      <alignment horizontal="center" wrapText="1"/>
    </xf>
    <xf numFmtId="0" fontId="6" fillId="8" borderId="35" xfId="0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7" fillId="0" borderId="39" xfId="0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1" fontId="48" fillId="0" borderId="0" xfId="0" applyNumberFormat="1" applyFont="1" applyAlignment="1">
      <alignment horizontal="center"/>
    </xf>
    <xf numFmtId="0" fontId="6" fillId="0" borderId="3" xfId="0" applyFont="1" applyFill="1" applyBorder="1"/>
    <xf numFmtId="10" fontId="0" fillId="0" borderId="3" xfId="188" applyNumberFormat="1" applyFont="1" applyFill="1" applyBorder="1"/>
    <xf numFmtId="3" fontId="0" fillId="0" borderId="3" xfId="0" applyNumberFormat="1" applyFont="1" applyFill="1" applyBorder="1"/>
    <xf numFmtId="3" fontId="0" fillId="15" borderId="3" xfId="0" applyNumberFormat="1" applyFill="1" applyBorder="1"/>
    <xf numFmtId="166" fontId="0" fillId="0" borderId="3" xfId="0" applyNumberFormat="1" applyBorder="1"/>
    <xf numFmtId="166" fontId="0" fillId="0" borderId="55" xfId="0" applyNumberFormat="1" applyBorder="1"/>
    <xf numFmtId="166" fontId="26" fillId="0" borderId="3" xfId="0" applyNumberFormat="1" applyFont="1" applyBorder="1"/>
    <xf numFmtId="166" fontId="35" fillId="0" borderId="3" xfId="0" applyNumberFormat="1" applyFont="1" applyBorder="1"/>
    <xf numFmtId="166" fontId="36" fillId="0" borderId="8" xfId="0" applyNumberFormat="1" applyFont="1" applyBorder="1" applyAlignment="1">
      <alignment horizontal="center"/>
    </xf>
    <xf numFmtId="166" fontId="0" fillId="0" borderId="9" xfId="0" applyNumberFormat="1" applyBorder="1"/>
    <xf numFmtId="166" fontId="6" fillId="0" borderId="60" xfId="0" applyNumberFormat="1" applyFont="1" applyBorder="1"/>
    <xf numFmtId="166" fontId="37" fillId="0" borderId="8" xfId="0" applyNumberFormat="1" applyFont="1" applyBorder="1"/>
    <xf numFmtId="166" fontId="0" fillId="0" borderId="3" xfId="0" applyNumberFormat="1" applyFont="1" applyBorder="1"/>
    <xf numFmtId="166" fontId="37" fillId="0" borderId="55" xfId="0" applyNumberFormat="1" applyFont="1" applyBorder="1"/>
    <xf numFmtId="166" fontId="34" fillId="0" borderId="9" xfId="0" applyNumberFormat="1" applyFont="1" applyBorder="1"/>
    <xf numFmtId="166" fontId="0" fillId="0" borderId="56" xfId="0" applyNumberFormat="1" applyBorder="1"/>
    <xf numFmtId="166" fontId="0" fillId="0" borderId="54" xfId="0" applyNumberFormat="1" applyBorder="1"/>
    <xf numFmtId="166" fontId="0" fillId="0" borderId="3" xfId="0" applyNumberFormat="1" applyFill="1" applyBorder="1"/>
    <xf numFmtId="166" fontId="0" fillId="0" borderId="55" xfId="0" applyNumberFormat="1" applyFill="1" applyBorder="1"/>
    <xf numFmtId="166" fontId="0" fillId="0" borderId="8" xfId="0" applyNumberFormat="1" applyBorder="1"/>
    <xf numFmtId="166" fontId="0" fillId="16" borderId="0" xfId="0" applyNumberFormat="1" applyFill="1" applyBorder="1"/>
    <xf numFmtId="0" fontId="50" fillId="0" borderId="0" xfId="0" applyFont="1"/>
    <xf numFmtId="0" fontId="0" fillId="0" borderId="14" xfId="0" applyFont="1" applyBorder="1" applyAlignment="1">
      <alignment horizontal="center"/>
    </xf>
    <xf numFmtId="0" fontId="27" fillId="12" borderId="57" xfId="0" applyFont="1" applyFill="1" applyBorder="1" applyAlignment="1">
      <alignment vertical="center"/>
    </xf>
    <xf numFmtId="0" fontId="0" fillId="12" borderId="39" xfId="0" applyFill="1" applyBorder="1" applyAlignment="1">
      <alignment horizontal="center" wrapText="1"/>
    </xf>
    <xf numFmtId="0" fontId="0" fillId="12" borderId="58" xfId="0" applyFill="1" applyBorder="1"/>
    <xf numFmtId="0" fontId="0" fillId="12" borderId="59" xfId="0" applyFill="1" applyBorder="1"/>
    <xf numFmtId="167" fontId="33" fillId="3" borderId="0" xfId="0" applyNumberFormat="1" applyFont="1" applyFill="1" applyAlignment="1">
      <alignment horizontal="center" wrapText="1"/>
    </xf>
    <xf numFmtId="0" fontId="52" fillId="0" borderId="0" xfId="0" applyFont="1"/>
    <xf numFmtId="174" fontId="26" fillId="0" borderId="0" xfId="0" applyNumberFormat="1" applyFont="1"/>
    <xf numFmtId="0" fontId="0" fillId="0" borderId="25" xfId="0" applyBorder="1"/>
    <xf numFmtId="0" fontId="0" fillId="0" borderId="56" xfId="0" applyBorder="1"/>
    <xf numFmtId="3" fontId="0" fillId="12" borderId="4" xfId="0" applyNumberFormat="1" applyFill="1" applyBorder="1" applyAlignment="1">
      <alignment horizontal="center"/>
    </xf>
    <xf numFmtId="9" fontId="0" fillId="2" borderId="0" xfId="1" applyFont="1" applyFill="1"/>
    <xf numFmtId="2" fontId="20" fillId="11" borderId="0" xfId="0" applyNumberFormat="1" applyFont="1" applyFill="1" applyAlignment="1">
      <alignment horizontal="center" wrapText="1"/>
    </xf>
    <xf numFmtId="166" fontId="26" fillId="2" borderId="0" xfId="0" applyNumberFormat="1" applyFont="1" applyFill="1"/>
    <xf numFmtId="0" fontId="6" fillId="0" borderId="29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left"/>
    </xf>
    <xf numFmtId="0" fontId="45" fillId="0" borderId="0" xfId="0" quotePrefix="1" applyFont="1" applyBorder="1"/>
    <xf numFmtId="0" fontId="0" fillId="0" borderId="0" xfId="0" quotePrefix="1" applyBorder="1" applyAlignment="1">
      <alignment horizontal="left"/>
    </xf>
    <xf numFmtId="0" fontId="19" fillId="0" borderId="0" xfId="0" applyFont="1"/>
    <xf numFmtId="0" fontId="23" fillId="0" borderId="39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69" fontId="19" fillId="0" borderId="0" xfId="0" applyNumberFormat="1" applyFont="1" applyBorder="1" applyAlignment="1">
      <alignment horizontal="center"/>
    </xf>
    <xf numFmtId="169" fontId="23" fillId="0" borderId="0" xfId="0" applyNumberFormat="1" applyFont="1" applyBorder="1" applyAlignment="1">
      <alignment horizontal="center"/>
    </xf>
    <xf numFmtId="169" fontId="23" fillId="0" borderId="39" xfId="0" applyNumberFormat="1" applyFont="1" applyBorder="1" applyAlignment="1">
      <alignment horizontal="center"/>
    </xf>
    <xf numFmtId="169" fontId="53" fillId="0" borderId="22" xfId="0" applyNumberFormat="1" applyFont="1" applyBorder="1" applyAlignment="1">
      <alignment horizontal="center"/>
    </xf>
    <xf numFmtId="169" fontId="23" fillId="0" borderId="3" xfId="0" applyNumberFormat="1" applyFont="1" applyBorder="1" applyAlignment="1">
      <alignment horizontal="center"/>
    </xf>
    <xf numFmtId="169" fontId="23" fillId="0" borderId="8" xfId="0" applyNumberFormat="1" applyFont="1" applyBorder="1" applyAlignment="1">
      <alignment horizontal="center"/>
    </xf>
    <xf numFmtId="169" fontId="53" fillId="0" borderId="56" xfId="0" applyNumberFormat="1" applyFont="1" applyBorder="1" applyAlignment="1">
      <alignment horizontal="center"/>
    </xf>
    <xf numFmtId="169" fontId="53" fillId="0" borderId="0" xfId="0" applyNumberFormat="1" applyFont="1" applyBorder="1" applyAlignment="1">
      <alignment horizontal="center"/>
    </xf>
    <xf numFmtId="169" fontId="53" fillId="0" borderId="3" xfId="0" applyNumberFormat="1" applyFont="1" applyBorder="1" applyAlignment="1">
      <alignment horizontal="center"/>
    </xf>
    <xf numFmtId="171" fontId="7" fillId="0" borderId="0" xfId="0" applyNumberFormat="1" applyFont="1" applyFill="1" applyBorder="1" applyAlignment="1">
      <alignment horizontal="center"/>
    </xf>
    <xf numFmtId="171" fontId="0" fillId="0" borderId="0" xfId="0" applyNumberFormat="1" applyFill="1" applyBorder="1" applyAlignment="1">
      <alignment horizontal="center"/>
    </xf>
    <xf numFmtId="171" fontId="40" fillId="0" borderId="0" xfId="0" applyNumberFormat="1" applyFont="1" applyFill="1" applyBorder="1" applyAlignment="1">
      <alignment horizontal="center"/>
    </xf>
    <xf numFmtId="171" fontId="0" fillId="0" borderId="0" xfId="0" applyNumberFormat="1" applyBorder="1" applyAlignment="1">
      <alignment horizontal="center"/>
    </xf>
    <xf numFmtId="166" fontId="0" fillId="2" borderId="0" xfId="0" applyNumberFormat="1" applyFill="1"/>
    <xf numFmtId="44" fontId="0" fillId="0" borderId="0" xfId="245" applyFont="1"/>
    <xf numFmtId="0" fontId="0" fillId="0" borderId="0" xfId="0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169" fontId="53" fillId="0" borderId="21" xfId="0" applyNumberFormat="1" applyFont="1" applyBorder="1" applyAlignment="1">
      <alignment horizontal="center"/>
    </xf>
    <xf numFmtId="169" fontId="53" fillId="0" borderId="9" xfId="0" applyNumberFormat="1" applyFont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19" fillId="0" borderId="61" xfId="0" applyFont="1" applyFill="1" applyBorder="1" applyAlignment="1">
      <alignment horizontal="center"/>
    </xf>
    <xf numFmtId="169" fontId="23" fillId="0" borderId="62" xfId="0" applyNumberFormat="1" applyFont="1" applyBorder="1" applyAlignment="1">
      <alignment horizontal="center"/>
    </xf>
    <xf numFmtId="169" fontId="53" fillId="0" borderId="63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2" fontId="6" fillId="0" borderId="22" xfId="0" applyNumberFormat="1" applyFont="1" applyFill="1" applyBorder="1" applyAlignment="1">
      <alignment horizontal="center" wrapText="1"/>
    </xf>
    <xf numFmtId="0" fontId="27" fillId="9" borderId="5" xfId="0" applyFont="1" applyFill="1" applyBorder="1" applyAlignment="1">
      <alignment vertical="center"/>
    </xf>
    <xf numFmtId="0" fontId="6" fillId="9" borderId="25" xfId="0" applyFont="1" applyFill="1" applyBorder="1" applyAlignment="1">
      <alignment horizontal="center"/>
    </xf>
    <xf numFmtId="169" fontId="53" fillId="0" borderId="39" xfId="0" applyNumberFormat="1" applyFont="1" applyBorder="1" applyAlignment="1">
      <alignment horizontal="center"/>
    </xf>
    <xf numFmtId="169" fontId="53" fillId="0" borderId="8" xfId="0" applyNumberFormat="1" applyFont="1" applyBorder="1" applyAlignment="1">
      <alignment horizontal="center"/>
    </xf>
    <xf numFmtId="0" fontId="6" fillId="9" borderId="5" xfId="0" applyFont="1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9" fillId="0" borderId="3" xfId="0" applyFont="1" applyFill="1" applyBorder="1" applyAlignment="1">
      <alignment horizontal="center"/>
    </xf>
    <xf numFmtId="169" fontId="19" fillId="0" borderId="3" xfId="0" applyNumberFormat="1" applyFont="1" applyFill="1" applyBorder="1" applyAlignment="1">
      <alignment horizontal="center"/>
    </xf>
    <xf numFmtId="0" fontId="0" fillId="9" borderId="5" xfId="0" applyFill="1" applyBorder="1" applyAlignment="1">
      <alignment vertical="center"/>
    </xf>
    <xf numFmtId="0" fontId="6" fillId="9" borderId="7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2" fontId="6" fillId="0" borderId="21" xfId="0" applyNumberFormat="1" applyFont="1" applyFill="1" applyBorder="1" applyAlignment="1">
      <alignment horizontal="center" wrapText="1"/>
    </xf>
    <xf numFmtId="0" fontId="7" fillId="0" borderId="22" xfId="0" applyFont="1" applyBorder="1" applyAlignment="1">
      <alignment horizontal="center"/>
    </xf>
    <xf numFmtId="0" fontId="31" fillId="9" borderId="5" xfId="0" applyFont="1" applyFill="1" applyBorder="1" applyAlignment="1">
      <alignment vertical="center"/>
    </xf>
    <xf numFmtId="169" fontId="23" fillId="0" borderId="65" xfId="0" applyNumberFormat="1" applyFont="1" applyBorder="1" applyAlignment="1">
      <alignment horizontal="center"/>
    </xf>
    <xf numFmtId="169" fontId="53" fillId="0" borderId="66" xfId="0" applyNumberFormat="1" applyFont="1" applyBorder="1" applyAlignment="1">
      <alignment horizontal="center"/>
    </xf>
    <xf numFmtId="169" fontId="53" fillId="0" borderId="61" xfId="0" applyNumberFormat="1" applyFont="1" applyBorder="1" applyAlignment="1">
      <alignment horizontal="center"/>
    </xf>
    <xf numFmtId="169" fontId="53" fillId="0" borderId="64" xfId="0" applyNumberFormat="1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0" fillId="0" borderId="36" xfId="0" applyBorder="1" applyAlignment="1">
      <alignment horizontal="center"/>
    </xf>
    <xf numFmtId="2" fontId="6" fillId="0" borderId="36" xfId="0" applyNumberFormat="1" applyFont="1" applyFill="1" applyBorder="1" applyAlignment="1">
      <alignment horizontal="center" wrapText="1"/>
    </xf>
    <xf numFmtId="2" fontId="6" fillId="0" borderId="37" xfId="0" applyNumberFormat="1" applyFont="1" applyFill="1" applyBorder="1" applyAlignment="1">
      <alignment horizontal="center" wrapText="1"/>
    </xf>
    <xf numFmtId="0" fontId="55" fillId="0" borderId="21" xfId="0" applyFont="1" applyBorder="1" applyAlignment="1">
      <alignment horizontal="center"/>
    </xf>
    <xf numFmtId="169" fontId="55" fillId="0" borderId="0" xfId="0" applyNumberFormat="1" applyFont="1" applyBorder="1" applyAlignment="1">
      <alignment horizontal="center"/>
    </xf>
    <xf numFmtId="169" fontId="55" fillId="0" borderId="3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169" fontId="55" fillId="0" borderId="21" xfId="0" applyNumberFormat="1" applyFont="1" applyBorder="1" applyAlignment="1">
      <alignment horizontal="center"/>
    </xf>
    <xf numFmtId="169" fontId="55" fillId="0" borderId="9" xfId="0" applyNumberFormat="1" applyFont="1" applyFill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9" fontId="6" fillId="0" borderId="37" xfId="0" applyNumberFormat="1" applyFont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9" fontId="6" fillId="0" borderId="36" xfId="0" applyNumberFormat="1" applyFont="1" applyBorder="1" applyAlignment="1">
      <alignment horizontal="center"/>
    </xf>
    <xf numFmtId="0" fontId="0" fillId="9" borderId="5" xfId="0" applyFill="1" applyBorder="1"/>
    <xf numFmtId="3" fontId="53" fillId="0" borderId="39" xfId="0" applyNumberFormat="1" applyFont="1" applyBorder="1" applyAlignment="1">
      <alignment horizontal="center"/>
    </xf>
    <xf numFmtId="3" fontId="53" fillId="0" borderId="0" xfId="0" applyNumberFormat="1" applyFont="1" applyBorder="1" applyAlignment="1">
      <alignment horizontal="center"/>
    </xf>
    <xf numFmtId="3" fontId="53" fillId="0" borderId="21" xfId="0" applyNumberFormat="1" applyFont="1" applyBorder="1" applyAlignment="1">
      <alignment horizontal="center"/>
    </xf>
    <xf numFmtId="3" fontId="53" fillId="0" borderId="8" xfId="0" applyNumberFormat="1" applyFont="1" applyBorder="1" applyAlignment="1">
      <alignment horizontal="center"/>
    </xf>
    <xf numFmtId="3" fontId="53" fillId="0" borderId="3" xfId="0" applyNumberFormat="1" applyFont="1" applyBorder="1" applyAlignment="1">
      <alignment horizontal="center"/>
    </xf>
    <xf numFmtId="3" fontId="53" fillId="0" borderId="9" xfId="0" applyNumberFormat="1" applyFont="1" applyBorder="1" applyAlignment="1">
      <alignment horizontal="center"/>
    </xf>
    <xf numFmtId="3" fontId="53" fillId="0" borderId="61" xfId="0" applyNumberFormat="1" applyFont="1" applyBorder="1" applyAlignment="1">
      <alignment horizontal="center"/>
    </xf>
    <xf numFmtId="3" fontId="53" fillId="0" borderId="62" xfId="0" applyNumberFormat="1" applyFont="1" applyBorder="1" applyAlignment="1">
      <alignment horizontal="center"/>
    </xf>
    <xf numFmtId="3" fontId="53" fillId="0" borderId="63" xfId="0" applyNumberFormat="1" applyFont="1" applyBorder="1" applyAlignment="1">
      <alignment horizontal="center"/>
    </xf>
    <xf numFmtId="3" fontId="53" fillId="0" borderId="64" xfId="0" applyNumberFormat="1" applyFont="1" applyBorder="1" applyAlignment="1">
      <alignment horizontal="center"/>
    </xf>
    <xf numFmtId="3" fontId="53" fillId="0" borderId="65" xfId="0" applyNumberFormat="1" applyFont="1" applyBorder="1" applyAlignment="1">
      <alignment horizontal="center"/>
    </xf>
    <xf numFmtId="3" fontId="53" fillId="0" borderId="66" xfId="0" applyNumberFormat="1" applyFont="1" applyBorder="1" applyAlignment="1">
      <alignment horizontal="center"/>
    </xf>
    <xf numFmtId="9" fontId="26" fillId="0" borderId="37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6" fillId="9" borderId="6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/>
    </xf>
    <xf numFmtId="0" fontId="6" fillId="9" borderId="39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19" fillId="9" borderId="39" xfId="0" applyFont="1" applyFill="1" applyBorder="1" applyAlignment="1">
      <alignment horizontal="center"/>
    </xf>
    <xf numFmtId="0" fontId="19" fillId="9" borderId="37" xfId="0" applyFont="1" applyFill="1" applyBorder="1" applyAlignment="1">
      <alignment horizontal="center"/>
    </xf>
    <xf numFmtId="0" fontId="19" fillId="9" borderId="14" xfId="0" applyFont="1" applyFill="1" applyBorder="1" applyAlignment="1">
      <alignment horizontal="center"/>
    </xf>
    <xf numFmtId="0" fontId="7" fillId="9" borderId="37" xfId="0" applyFont="1" applyFill="1" applyBorder="1" applyAlignment="1">
      <alignment horizontal="center"/>
    </xf>
    <xf numFmtId="0" fontId="55" fillId="9" borderId="36" xfId="0" applyFont="1" applyFill="1" applyBorder="1" applyAlignment="1">
      <alignment horizontal="center"/>
    </xf>
    <xf numFmtId="9" fontId="6" fillId="9" borderId="37" xfId="0" applyNumberFormat="1" applyFont="1" applyFill="1" applyBorder="1" applyAlignment="1">
      <alignment horizontal="center"/>
    </xf>
    <xf numFmtId="164" fontId="6" fillId="9" borderId="14" xfId="0" applyNumberFormat="1" applyFont="1" applyFill="1" applyBorder="1" applyAlignment="1">
      <alignment horizontal="center"/>
    </xf>
    <xf numFmtId="0" fontId="0" fillId="9" borderId="7" xfId="0" applyFont="1" applyFill="1" applyBorder="1" applyAlignment="1">
      <alignment vertical="center"/>
    </xf>
    <xf numFmtId="0" fontId="0" fillId="9" borderId="0" xfId="0" applyFont="1" applyFill="1"/>
    <xf numFmtId="0" fontId="6" fillId="9" borderId="0" xfId="0" applyFont="1" applyFill="1" applyBorder="1" applyAlignment="1">
      <alignment horizontal="left"/>
    </xf>
    <xf numFmtId="0" fontId="10" fillId="9" borderId="21" xfId="0" applyFont="1" applyFill="1" applyBorder="1" applyAlignment="1">
      <alignment horizontal="center"/>
    </xf>
    <xf numFmtId="9" fontId="25" fillId="9" borderId="37" xfId="0" applyNumberFormat="1" applyFont="1" applyFill="1" applyBorder="1" applyAlignment="1">
      <alignment horizontal="center"/>
    </xf>
    <xf numFmtId="0" fontId="17" fillId="9" borderId="36" xfId="0" applyFont="1" applyFill="1" applyBorder="1" applyAlignment="1">
      <alignment horizontal="center"/>
    </xf>
    <xf numFmtId="0" fontId="55" fillId="9" borderId="21" xfId="0" applyFont="1" applyFill="1" applyBorder="1" applyAlignment="1">
      <alignment horizontal="center"/>
    </xf>
    <xf numFmtId="0" fontId="48" fillId="9" borderId="36" xfId="0" applyFont="1" applyFill="1" applyBorder="1" applyAlignment="1">
      <alignment horizontal="center"/>
    </xf>
    <xf numFmtId="0" fontId="56" fillId="9" borderId="6" xfId="0" applyFont="1" applyFill="1" applyBorder="1" applyAlignment="1">
      <alignment vertical="center"/>
    </xf>
    <xf numFmtId="0" fontId="56" fillId="9" borderId="7" xfId="0" applyFont="1" applyFill="1" applyBorder="1" applyAlignment="1">
      <alignment vertical="center"/>
    </xf>
    <xf numFmtId="0" fontId="31" fillId="9" borderId="5" xfId="0" applyFont="1" applyFill="1" applyBorder="1" applyAlignment="1">
      <alignment horizontal="left" vertical="center"/>
    </xf>
    <xf numFmtId="0" fontId="31" fillId="9" borderId="7" xfId="0" applyFont="1" applyFill="1" applyBorder="1" applyAlignment="1">
      <alignment horizontal="center" vertical="center"/>
    </xf>
    <xf numFmtId="164" fontId="6" fillId="9" borderId="36" xfId="0" applyNumberFormat="1" applyFont="1" applyFill="1" applyBorder="1" applyAlignment="1">
      <alignment horizontal="center"/>
    </xf>
    <xf numFmtId="0" fontId="57" fillId="0" borderId="6" xfId="0" applyFont="1" applyFill="1" applyBorder="1" applyAlignment="1">
      <alignment horizontal="left"/>
    </xf>
    <xf numFmtId="0" fontId="30" fillId="0" borderId="0" xfId="0" applyFont="1"/>
    <xf numFmtId="0" fontId="6" fillId="9" borderId="5" xfId="0" applyFont="1" applyFill="1" applyBorder="1" applyAlignment="1">
      <alignment horizontal="left"/>
    </xf>
    <xf numFmtId="0" fontId="41" fillId="0" borderId="39" xfId="0" applyFont="1" applyBorder="1"/>
    <xf numFmtId="0" fontId="41" fillId="0" borderId="46" xfId="0" applyFont="1" applyBorder="1"/>
    <xf numFmtId="0" fontId="41" fillId="0" borderId="8" xfId="0" applyFont="1" applyBorder="1"/>
    <xf numFmtId="0" fontId="30" fillId="0" borderId="37" xfId="0" applyFont="1" applyBorder="1" applyAlignment="1">
      <alignment horizontal="center"/>
    </xf>
    <xf numFmtId="0" fontId="30" fillId="0" borderId="61" xfId="0" applyFont="1" applyFill="1" applyBorder="1" applyAlignment="1">
      <alignment horizontal="center"/>
    </xf>
    <xf numFmtId="169" fontId="41" fillId="0" borderId="62" xfId="0" applyNumberFormat="1" applyFont="1" applyBorder="1" applyAlignment="1">
      <alignment horizontal="center"/>
    </xf>
    <xf numFmtId="0" fontId="30" fillId="0" borderId="8" xfId="0" applyFont="1" applyFill="1" applyBorder="1" applyAlignment="1">
      <alignment horizontal="center"/>
    </xf>
    <xf numFmtId="169" fontId="41" fillId="0" borderId="65" xfId="0" applyNumberFormat="1" applyFont="1" applyBorder="1" applyAlignment="1">
      <alignment horizontal="center"/>
    </xf>
    <xf numFmtId="0" fontId="30" fillId="9" borderId="5" xfId="0" applyFont="1" applyFill="1" applyBorder="1" applyAlignment="1">
      <alignment vertical="center"/>
    </xf>
    <xf numFmtId="0" fontId="41" fillId="9" borderId="6" xfId="0" applyFont="1" applyFill="1" applyBorder="1" applyAlignment="1">
      <alignment vertical="center"/>
    </xf>
    <xf numFmtId="0" fontId="30" fillId="9" borderId="39" xfId="0" applyFont="1" applyFill="1" applyBorder="1" applyAlignment="1">
      <alignment horizontal="center"/>
    </xf>
    <xf numFmtId="0" fontId="30" fillId="9" borderId="0" xfId="0" applyFont="1" applyFill="1" applyBorder="1" applyAlignment="1">
      <alignment horizontal="center"/>
    </xf>
    <xf numFmtId="0" fontId="30" fillId="9" borderId="21" xfId="0" applyFont="1" applyFill="1" applyBorder="1" applyAlignment="1">
      <alignment horizontal="center"/>
    </xf>
    <xf numFmtId="0" fontId="30" fillId="9" borderId="37" xfId="0" applyFont="1" applyFill="1" applyBorder="1" applyAlignment="1">
      <alignment horizontal="center"/>
    </xf>
    <xf numFmtId="0" fontId="30" fillId="9" borderId="14" xfId="0" applyFont="1" applyFill="1" applyBorder="1" applyAlignment="1">
      <alignment horizontal="center"/>
    </xf>
    <xf numFmtId="0" fontId="30" fillId="9" borderId="36" xfId="0" applyFont="1" applyFill="1" applyBorder="1" applyAlignment="1">
      <alignment horizontal="center"/>
    </xf>
    <xf numFmtId="169" fontId="41" fillId="0" borderId="21" xfId="0" applyNumberFormat="1" applyFont="1" applyBorder="1" applyAlignment="1">
      <alignment horizontal="center"/>
    </xf>
    <xf numFmtId="169" fontId="41" fillId="0" borderId="63" xfId="0" applyNumberFormat="1" applyFont="1" applyBorder="1" applyAlignment="1">
      <alignment horizontal="center"/>
    </xf>
    <xf numFmtId="169" fontId="41" fillId="0" borderId="66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1" fontId="41" fillId="0" borderId="3" xfId="0" applyNumberFormat="1" applyFont="1" applyBorder="1" applyAlignment="1">
      <alignment horizontal="center"/>
    </xf>
    <xf numFmtId="169" fontId="41" fillId="0" borderId="47" xfId="0" applyNumberFormat="1" applyFont="1" applyBorder="1" applyAlignment="1">
      <alignment horizontal="center"/>
    </xf>
    <xf numFmtId="169" fontId="41" fillId="0" borderId="9" xfId="0" applyNumberFormat="1" applyFont="1" applyBorder="1" applyAlignment="1">
      <alignment horizontal="center"/>
    </xf>
    <xf numFmtId="0" fontId="30" fillId="9" borderId="6" xfId="0" applyFont="1" applyFill="1" applyBorder="1" applyAlignment="1">
      <alignment horizontal="center"/>
    </xf>
    <xf numFmtId="0" fontId="30" fillId="9" borderId="7" xfId="0" applyFont="1" applyFill="1" applyBorder="1" applyAlignment="1">
      <alignment horizontal="center"/>
    </xf>
    <xf numFmtId="0" fontId="41" fillId="0" borderId="0" xfId="0" applyFont="1"/>
    <xf numFmtId="0" fontId="41" fillId="9" borderId="0" xfId="0" applyFont="1" applyFill="1" applyBorder="1"/>
    <xf numFmtId="0" fontId="41" fillId="0" borderId="14" xfId="0" applyFont="1" applyBorder="1"/>
    <xf numFmtId="0" fontId="41" fillId="9" borderId="6" xfId="0" applyFont="1" applyFill="1" applyBorder="1"/>
    <xf numFmtId="0" fontId="41" fillId="9" borderId="7" xfId="0" applyFont="1" applyFill="1" applyBorder="1"/>
    <xf numFmtId="0" fontId="30" fillId="0" borderId="8" xfId="0" applyFont="1" applyBorder="1" applyAlignment="1">
      <alignment horizontal="center"/>
    </xf>
    <xf numFmtId="0" fontId="41" fillId="0" borderId="3" xfId="0" applyFont="1" applyBorder="1"/>
    <xf numFmtId="0" fontId="41" fillId="9" borderId="14" xfId="0" applyFont="1" applyFill="1" applyBorder="1"/>
    <xf numFmtId="169" fontId="58" fillId="0" borderId="36" xfId="0" applyNumberFormat="1" applyFont="1" applyBorder="1" applyAlignment="1">
      <alignment horizontal="center"/>
    </xf>
    <xf numFmtId="169" fontId="58" fillId="0" borderId="9" xfId="0" applyNumberFormat="1" applyFont="1" applyBorder="1" applyAlignment="1">
      <alignment horizontal="center"/>
    </xf>
    <xf numFmtId="0" fontId="30" fillId="9" borderId="39" xfId="0" applyFont="1" applyFill="1" applyBorder="1"/>
    <xf numFmtId="0" fontId="59" fillId="9" borderId="5" xfId="0" applyFont="1" applyFill="1" applyBorder="1" applyAlignment="1">
      <alignment vertical="center"/>
    </xf>
    <xf numFmtId="0" fontId="41" fillId="9" borderId="0" xfId="0" applyFont="1" applyFill="1" applyBorder="1" applyAlignment="1">
      <alignment horizontal="center"/>
    </xf>
    <xf numFmtId="0" fontId="41" fillId="9" borderId="21" xfId="0" applyFont="1" applyFill="1" applyBorder="1" applyAlignment="1">
      <alignment horizontal="center"/>
    </xf>
    <xf numFmtId="0" fontId="41" fillId="9" borderId="36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66" fontId="34" fillId="2" borderId="0" xfId="0" applyNumberFormat="1" applyFont="1" applyFill="1" applyBorder="1"/>
    <xf numFmtId="166" fontId="6" fillId="2" borderId="40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166" fontId="7" fillId="0" borderId="0" xfId="0" applyNumberFormat="1" applyFont="1" applyFill="1" applyAlignment="1">
      <alignment horizontal="right"/>
    </xf>
    <xf numFmtId="166" fontId="26" fillId="0" borderId="0" xfId="0" applyNumberFormat="1" applyFont="1" applyFill="1" applyBorder="1" applyAlignment="1">
      <alignment horizontal="right"/>
    </xf>
    <xf numFmtId="166" fontId="7" fillId="0" borderId="14" xfId="0" applyNumberFormat="1" applyFont="1" applyFill="1" applyBorder="1" applyAlignment="1">
      <alignment horizontal="right"/>
    </xf>
    <xf numFmtId="166" fontId="26" fillId="0" borderId="14" xfId="0" applyNumberFormat="1" applyFont="1" applyFill="1" applyBorder="1" applyAlignment="1">
      <alignment horizontal="right"/>
    </xf>
    <xf numFmtId="166" fontId="7" fillId="0" borderId="0" xfId="0" applyNumberFormat="1" applyFont="1" applyAlignment="1">
      <alignment horizontal="right"/>
    </xf>
    <xf numFmtId="166" fontId="7" fillId="0" borderId="0" xfId="0" applyNumberFormat="1" applyFont="1" applyBorder="1" applyAlignment="1">
      <alignment horizontal="right"/>
    </xf>
    <xf numFmtId="166" fontId="7" fillId="2" borderId="0" xfId="0" applyNumberFormat="1" applyFont="1" applyFill="1" applyAlignment="1">
      <alignment horizontal="right"/>
    </xf>
    <xf numFmtId="166" fontId="7" fillId="0" borderId="3" xfId="0" applyNumberFormat="1" applyFont="1" applyBorder="1" applyAlignment="1">
      <alignment horizontal="right"/>
    </xf>
    <xf numFmtId="166" fontId="26" fillId="0" borderId="3" xfId="0" applyNumberFormat="1" applyFont="1" applyFill="1" applyBorder="1" applyAlignment="1">
      <alignment horizontal="right"/>
    </xf>
    <xf numFmtId="166" fontId="26" fillId="0" borderId="0" xfId="0" applyNumberFormat="1" applyFont="1" applyBorder="1" applyAlignment="1">
      <alignment horizontal="right"/>
    </xf>
    <xf numFmtId="166" fontId="26" fillId="0" borderId="21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26" fillId="0" borderId="47" xfId="0" applyNumberFormat="1" applyFont="1" applyBorder="1" applyAlignment="1">
      <alignment horizontal="right"/>
    </xf>
    <xf numFmtId="166" fontId="36" fillId="0" borderId="39" xfId="0" applyNumberFormat="1" applyFont="1" applyFill="1" applyBorder="1" applyAlignment="1">
      <alignment horizontal="center"/>
    </xf>
    <xf numFmtId="166" fontId="0" fillId="0" borderId="21" xfId="0" applyNumberFormat="1" applyFill="1" applyBorder="1"/>
    <xf numFmtId="0" fontId="6" fillId="6" borderId="8" xfId="0" applyFont="1" applyFill="1" applyBorder="1" applyAlignment="1">
      <alignment horizontal="center" wrapText="1"/>
    </xf>
    <xf numFmtId="166" fontId="35" fillId="0" borderId="0" xfId="0" applyNumberFormat="1" applyFont="1" applyFill="1" applyBorder="1"/>
    <xf numFmtId="167" fontId="0" fillId="0" borderId="0" xfId="0" applyNumberFormat="1" applyFill="1" applyAlignment="1">
      <alignment horizontal="center"/>
    </xf>
    <xf numFmtId="166" fontId="6" fillId="8" borderId="0" xfId="0" applyNumberFormat="1" applyFont="1" applyFill="1" applyBorder="1"/>
    <xf numFmtId="167" fontId="0" fillId="0" borderId="46" xfId="0" applyNumberFormat="1" applyBorder="1" applyAlignment="1">
      <alignment horizontal="center"/>
    </xf>
    <xf numFmtId="2" fontId="40" fillId="11" borderId="0" xfId="0" applyNumberFormat="1" applyFont="1" applyFill="1" applyAlignment="1">
      <alignment horizontal="center" wrapText="1"/>
    </xf>
    <xf numFmtId="3" fontId="0" fillId="0" borderId="0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27" fillId="0" borderId="57" xfId="0" applyFont="1" applyFill="1" applyBorder="1" applyAlignment="1"/>
    <xf numFmtId="0" fontId="0" fillId="0" borderId="58" xfId="0" applyFill="1" applyBorder="1" applyAlignment="1"/>
    <xf numFmtId="0" fontId="6" fillId="0" borderId="59" xfId="0" applyFont="1" applyFill="1" applyBorder="1" applyAlignment="1"/>
    <xf numFmtId="0" fontId="6" fillId="12" borderId="5" xfId="0" applyFont="1" applyFill="1" applyBorder="1"/>
    <xf numFmtId="0" fontId="7" fillId="12" borderId="7" xfId="0" applyFont="1" applyFill="1" applyBorder="1"/>
    <xf numFmtId="167" fontId="19" fillId="12" borderId="39" xfId="0" applyNumberFormat="1" applyFont="1" applyFill="1" applyBorder="1" applyAlignment="1">
      <alignment horizontal="center"/>
    </xf>
    <xf numFmtId="0" fontId="24" fillId="0" borderId="21" xfId="40" applyFont="1" applyBorder="1"/>
    <xf numFmtId="0" fontId="27" fillId="12" borderId="39" xfId="0" applyFont="1" applyFill="1" applyBorder="1" applyAlignment="1">
      <alignment horizontal="left"/>
    </xf>
    <xf numFmtId="0" fontId="0" fillId="12" borderId="21" xfId="0" applyFill="1" applyBorder="1" applyAlignment="1">
      <alignment horizontal="left"/>
    </xf>
    <xf numFmtId="9" fontId="7" fillId="12" borderId="37" xfId="0" applyNumberFormat="1" applyFont="1" applyFill="1" applyBorder="1" applyAlignment="1">
      <alignment horizontal="center" wrapText="1"/>
    </xf>
    <xf numFmtId="9" fontId="7" fillId="11" borderId="36" xfId="0" applyNumberFormat="1" applyFont="1" applyFill="1" applyBorder="1" applyAlignment="1">
      <alignment horizontal="center" wrapText="1"/>
    </xf>
    <xf numFmtId="3" fontId="0" fillId="0" borderId="3" xfId="0" applyNumberFormat="1" applyFill="1" applyBorder="1" applyAlignment="1">
      <alignment horizontal="center"/>
    </xf>
    <xf numFmtId="166" fontId="34" fillId="0" borderId="3" xfId="0" applyNumberFormat="1" applyFont="1" applyBorder="1"/>
    <xf numFmtId="0" fontId="19" fillId="0" borderId="5" xfId="0" applyFont="1" applyBorder="1"/>
    <xf numFmtId="9" fontId="41" fillId="15" borderId="21" xfId="0" applyNumberFormat="1" applyFont="1" applyFill="1" applyBorder="1" applyAlignment="1">
      <alignment horizontal="center"/>
    </xf>
    <xf numFmtId="9" fontId="41" fillId="15" borderId="9" xfId="0" applyNumberFormat="1" applyFont="1" applyFill="1" applyBorder="1" applyAlignment="1">
      <alignment horizontal="center"/>
    </xf>
    <xf numFmtId="9" fontId="30" fillId="15" borderId="4" xfId="0" applyNumberFormat="1" applyFont="1" applyFill="1" applyBorder="1" applyAlignment="1">
      <alignment horizontal="center" vertical="center"/>
    </xf>
    <xf numFmtId="4" fontId="23" fillId="0" borderId="22" xfId="0" applyNumberFormat="1" applyFont="1" applyBorder="1" applyAlignment="1">
      <alignment horizontal="center"/>
    </xf>
    <xf numFmtId="4" fontId="23" fillId="0" borderId="56" xfId="0" applyNumberFormat="1" applyFont="1" applyBorder="1" applyAlignment="1">
      <alignment horizontal="center"/>
    </xf>
    <xf numFmtId="2" fontId="0" fillId="0" borderId="14" xfId="0" applyNumberFormat="1" applyFill="1" applyBorder="1" applyAlignment="1">
      <alignment horizontal="center" wrapText="1"/>
    </xf>
    <xf numFmtId="9" fontId="6" fillId="15" borderId="0" xfId="0" applyNumberFormat="1" applyFont="1" applyFill="1" applyAlignment="1">
      <alignment horizontal="center"/>
    </xf>
    <xf numFmtId="0" fontId="27" fillId="0" borderId="30" xfId="0" applyFont="1" applyFill="1" applyBorder="1" applyAlignment="1">
      <alignment vertical="center"/>
    </xf>
    <xf numFmtId="9" fontId="30" fillId="15" borderId="2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2" fontId="7" fillId="11" borderId="0" xfId="0" applyNumberFormat="1" applyFont="1" applyFill="1" applyAlignment="1">
      <alignment horizontal="center" wrapText="1"/>
    </xf>
    <xf numFmtId="9" fontId="19" fillId="0" borderId="3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71" fontId="0" fillId="0" borderId="10" xfId="0" applyNumberFormat="1" applyBorder="1" applyAlignment="1">
      <alignment horizontal="center"/>
    </xf>
    <xf numFmtId="0" fontId="62" fillId="0" borderId="0" xfId="0" applyFont="1"/>
    <xf numFmtId="0" fontId="6" fillId="0" borderId="10" xfId="0" applyFont="1" applyFill="1" applyBorder="1" applyAlignment="1">
      <alignment horizontal="right"/>
    </xf>
    <xf numFmtId="171" fontId="7" fillId="0" borderId="10" xfId="0" applyNumberFormat="1" applyFont="1" applyFill="1" applyBorder="1" applyAlignment="1">
      <alignment horizontal="center"/>
    </xf>
    <xf numFmtId="171" fontId="20" fillId="0" borderId="10" xfId="0" applyNumberFormat="1" applyFont="1" applyFill="1" applyBorder="1" applyAlignment="1">
      <alignment horizontal="center"/>
    </xf>
    <xf numFmtId="171" fontId="40" fillId="0" borderId="10" xfId="0" applyNumberFormat="1" applyFont="1" applyFill="1" applyBorder="1" applyAlignment="1">
      <alignment horizontal="center"/>
    </xf>
    <xf numFmtId="167" fontId="40" fillId="0" borderId="10" xfId="0" applyNumberFormat="1" applyFont="1" applyFill="1" applyBorder="1" applyAlignment="1">
      <alignment horizontal="center"/>
    </xf>
  </cellXfs>
  <cellStyles count="436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Lien hypertexte visité" xfId="90" builtinId="9" hidden="1"/>
    <cellStyle name="Lien hypertexte visité" xfId="91" builtinId="9" hidden="1"/>
    <cellStyle name="Lien hypertexte visité" xfId="92" builtinId="9" hidden="1"/>
    <cellStyle name="Lien hypertexte visité" xfId="93" builtinId="9" hidden="1"/>
    <cellStyle name="Lien hypertexte visité" xfId="94" builtinId="9" hidden="1"/>
    <cellStyle name="Lien hypertexte visité" xfId="95" builtinId="9" hidden="1"/>
    <cellStyle name="Lien hypertexte visité" xfId="96" builtinId="9" hidden="1"/>
    <cellStyle name="Lien hypertexte visité" xfId="97" builtinId="9" hidden="1"/>
    <cellStyle name="Lien hypertexte visité" xfId="98" builtinId="9" hidden="1"/>
    <cellStyle name="Lien hypertexte visité" xfId="99" builtinId="9" hidden="1"/>
    <cellStyle name="Lien hypertexte visité" xfId="100" builtinId="9" hidden="1"/>
    <cellStyle name="Lien hypertexte visité" xfId="101" builtinId="9" hidden="1"/>
    <cellStyle name="Lien hypertexte visité" xfId="102" builtinId="9" hidden="1"/>
    <cellStyle name="Lien hypertexte visité" xfId="103" builtinId="9" hidden="1"/>
    <cellStyle name="Lien hypertexte visité" xfId="104" builtinId="9" hidden="1"/>
    <cellStyle name="Lien hypertexte visité" xfId="105" builtinId="9" hidden="1"/>
    <cellStyle name="Lien hypertexte visité" xfId="106" builtinId="9" hidden="1"/>
    <cellStyle name="Lien hypertexte visité" xfId="107" builtinId="9" hidden="1"/>
    <cellStyle name="Lien hypertexte visité" xfId="108" builtinId="9" hidden="1"/>
    <cellStyle name="Lien hypertexte visité" xfId="109" builtinId="9" hidden="1"/>
    <cellStyle name="Lien hypertexte visité" xfId="110" builtinId="9" hidden="1"/>
    <cellStyle name="Lien hypertexte visité" xfId="111" builtinId="9" hidden="1"/>
    <cellStyle name="Lien hypertexte visité" xfId="112" builtinId="9" hidden="1"/>
    <cellStyle name="Lien hypertexte visité" xfId="113" builtinId="9" hidden="1"/>
    <cellStyle name="Lien hypertexte visité" xfId="114" builtinId="9" hidden="1"/>
    <cellStyle name="Lien hypertexte visité" xfId="115" builtinId="9" hidden="1"/>
    <cellStyle name="Lien hypertexte visité" xfId="116" builtinId="9" hidden="1"/>
    <cellStyle name="Lien hypertexte visité" xfId="117" builtinId="9" hidden="1"/>
    <cellStyle name="Lien hypertexte visité" xfId="118" builtinId="9" hidden="1"/>
    <cellStyle name="Lien hypertexte visité" xfId="119" builtinId="9" hidden="1"/>
    <cellStyle name="Lien hypertexte visité" xfId="120" builtinId="9" hidden="1"/>
    <cellStyle name="Lien hypertexte visité" xfId="121" builtinId="9" hidden="1"/>
    <cellStyle name="Lien hypertexte visité" xfId="122" builtinId="9" hidden="1"/>
    <cellStyle name="Lien hypertexte visité" xfId="123" builtinId="9" hidden="1"/>
    <cellStyle name="Lien hypertexte visité" xfId="124" builtinId="9" hidden="1"/>
    <cellStyle name="Lien hypertexte visité" xfId="125" builtinId="9" hidden="1"/>
    <cellStyle name="Lien hypertexte visité" xfId="126" builtinId="9" hidden="1"/>
    <cellStyle name="Lien hypertexte visité" xfId="127" builtinId="9" hidden="1"/>
    <cellStyle name="Lien hypertexte visité" xfId="128" builtinId="9" hidden="1"/>
    <cellStyle name="Lien hypertexte visité" xfId="129" builtinId="9" hidden="1"/>
    <cellStyle name="Lien hypertexte visité" xfId="130" builtinId="9" hidden="1"/>
    <cellStyle name="Lien hypertexte visité" xfId="131" builtinId="9" hidden="1"/>
    <cellStyle name="Lien hypertexte visité" xfId="132" builtinId="9" hidden="1"/>
    <cellStyle name="Lien hypertexte visité" xfId="133" builtinId="9" hidden="1"/>
    <cellStyle name="Lien hypertexte visité" xfId="134" builtinId="9" hidden="1"/>
    <cellStyle name="Lien hypertexte visité" xfId="135" builtinId="9" hidden="1"/>
    <cellStyle name="Lien hypertexte visité" xfId="136" builtinId="9" hidden="1"/>
    <cellStyle name="Lien hypertexte visité" xfId="137" builtinId="9" hidden="1"/>
    <cellStyle name="Lien hypertexte visité" xfId="138" builtinId="9" hidden="1"/>
    <cellStyle name="Lien hypertexte visité" xfId="139" builtinId="9" hidden="1"/>
    <cellStyle name="Lien hypertexte visité" xfId="140" builtinId="9" hidden="1"/>
    <cellStyle name="Lien hypertexte visité" xfId="141" builtinId="9" hidden="1"/>
    <cellStyle name="Lien hypertexte visité" xfId="142" builtinId="9" hidden="1"/>
    <cellStyle name="Lien hypertexte visité" xfId="143" builtinId="9" hidden="1"/>
    <cellStyle name="Lien hypertexte visité" xfId="144" builtinId="9" hidden="1"/>
    <cellStyle name="Lien hypertexte visité" xfId="145" builtinId="9" hidden="1"/>
    <cellStyle name="Lien hypertexte visité" xfId="146" builtinId="9" hidden="1"/>
    <cellStyle name="Lien hypertexte visité" xfId="147" builtinId="9" hidden="1"/>
    <cellStyle name="Lien hypertexte visité" xfId="148" builtinId="9" hidden="1"/>
    <cellStyle name="Lien hypertexte visité" xfId="149" builtinId="9" hidden="1"/>
    <cellStyle name="Lien hypertexte visité" xfId="150" builtinId="9" hidden="1"/>
    <cellStyle name="Lien hypertexte visité" xfId="151" builtinId="9" hidden="1"/>
    <cellStyle name="Lien hypertexte visité" xfId="152" builtinId="9" hidden="1"/>
    <cellStyle name="Lien hypertexte visité" xfId="153" builtinId="9" hidden="1"/>
    <cellStyle name="Lien hypertexte visité" xfId="154" builtinId="9" hidden="1"/>
    <cellStyle name="Lien hypertexte visité" xfId="155" builtinId="9" hidden="1"/>
    <cellStyle name="Lien hypertexte visité" xfId="156" builtinId="9" hidden="1"/>
    <cellStyle name="Lien hypertexte visité" xfId="157" builtinId="9" hidden="1"/>
    <cellStyle name="Lien hypertexte visité" xfId="158" builtinId="9" hidden="1"/>
    <cellStyle name="Lien hypertexte visité" xfId="159" builtinId="9" hidden="1"/>
    <cellStyle name="Lien hypertexte visité" xfId="160" builtinId="9" hidden="1"/>
    <cellStyle name="Lien hypertexte visité" xfId="161" builtinId="9" hidden="1"/>
    <cellStyle name="Lien hypertexte visité" xfId="162" builtinId="9" hidden="1"/>
    <cellStyle name="Lien hypertexte visité" xfId="163" builtinId="9" hidden="1"/>
    <cellStyle name="Lien hypertexte visité" xfId="164" builtinId="9" hidden="1"/>
    <cellStyle name="Lien hypertexte visité" xfId="165" builtinId="9" hidden="1"/>
    <cellStyle name="Lien hypertexte visité" xfId="166" builtinId="9" hidden="1"/>
    <cellStyle name="Lien hypertexte visité" xfId="167" builtinId="9" hidden="1"/>
    <cellStyle name="Lien hypertexte visité" xfId="168" builtinId="9" hidden="1"/>
    <cellStyle name="Lien hypertexte visité" xfId="169" builtinId="9" hidden="1"/>
    <cellStyle name="Lien hypertexte visité" xfId="170" builtinId="9" hidden="1"/>
    <cellStyle name="Lien hypertexte visité" xfId="171" builtinId="9" hidden="1"/>
    <cellStyle name="Lien hypertexte visité" xfId="172" builtinId="9" hidden="1"/>
    <cellStyle name="Lien hypertexte visité" xfId="173" builtinId="9" hidden="1"/>
    <cellStyle name="Lien hypertexte visité" xfId="174" builtinId="9" hidden="1"/>
    <cellStyle name="Lien hypertexte visité" xfId="175" builtinId="9" hidden="1"/>
    <cellStyle name="Lien hypertexte visité" xfId="176" builtinId="9" hidden="1"/>
    <cellStyle name="Lien hypertexte visité" xfId="177" builtinId="9" hidden="1"/>
    <cellStyle name="Lien hypertexte visité" xfId="178" builtinId="9" hidden="1"/>
    <cellStyle name="Lien hypertexte visité" xfId="179" builtinId="9" hidden="1"/>
    <cellStyle name="Lien hypertexte visité" xfId="180" builtinId="9" hidden="1"/>
    <cellStyle name="Lien hypertexte visité" xfId="181" builtinId="9" hidden="1"/>
    <cellStyle name="Lien hypertexte visité" xfId="182" builtinId="9" hidden="1"/>
    <cellStyle name="Lien hypertexte visité" xfId="183" builtinId="9" hidden="1"/>
    <cellStyle name="Lien hypertexte visité" xfId="184" builtinId="9" hidden="1"/>
    <cellStyle name="Lien hypertexte visité" xfId="185" builtinId="9" hidden="1"/>
    <cellStyle name="Lien hypertexte visité" xfId="186" builtinId="9" hidden="1"/>
    <cellStyle name="Lien hypertexte visité" xfId="187" builtinId="9" hidden="1"/>
    <cellStyle name="Lien hypertexte visité" xfId="189" builtinId="9" hidden="1"/>
    <cellStyle name="Lien hypertexte visité" xfId="190" builtinId="9" hidden="1"/>
    <cellStyle name="Lien hypertexte visité" xfId="191" builtinId="9" hidden="1"/>
    <cellStyle name="Lien hypertexte visité" xfId="192" builtinId="9" hidden="1"/>
    <cellStyle name="Lien hypertexte visité" xfId="193" builtinId="9" hidden="1"/>
    <cellStyle name="Lien hypertexte visité" xfId="194" builtinId="9" hidden="1"/>
    <cellStyle name="Lien hypertexte visité" xfId="195" builtinId="9" hidden="1"/>
    <cellStyle name="Lien hypertexte visité" xfId="196" builtinId="9" hidden="1"/>
    <cellStyle name="Lien hypertexte visité" xfId="197" builtinId="9" hidden="1"/>
    <cellStyle name="Lien hypertexte visité" xfId="198" builtinId="9" hidden="1"/>
    <cellStyle name="Lien hypertexte visité" xfId="199" builtinId="9" hidden="1"/>
    <cellStyle name="Lien hypertexte visité" xfId="200" builtinId="9" hidden="1"/>
    <cellStyle name="Lien hypertexte visité" xfId="201" builtinId="9" hidden="1"/>
    <cellStyle name="Lien hypertexte visité" xfId="202" builtinId="9" hidden="1"/>
    <cellStyle name="Lien hypertexte visité" xfId="203" builtinId="9" hidden="1"/>
    <cellStyle name="Lien hypertexte visité" xfId="204" builtinId="9" hidden="1"/>
    <cellStyle name="Lien hypertexte visité" xfId="205" builtinId="9" hidden="1"/>
    <cellStyle name="Lien hypertexte visité" xfId="206" builtinId="9" hidden="1"/>
    <cellStyle name="Lien hypertexte visité" xfId="207" builtinId="9" hidden="1"/>
    <cellStyle name="Lien hypertexte visité" xfId="208" builtinId="9" hidden="1"/>
    <cellStyle name="Lien hypertexte visité" xfId="209" builtinId="9" hidden="1"/>
    <cellStyle name="Lien hypertexte visité" xfId="210" builtinId="9" hidden="1"/>
    <cellStyle name="Lien hypertexte visité" xfId="211" builtinId="9" hidden="1"/>
    <cellStyle name="Lien hypertexte visité" xfId="212" builtinId="9" hidden="1"/>
    <cellStyle name="Lien hypertexte visité" xfId="213" builtinId="9" hidden="1"/>
    <cellStyle name="Lien hypertexte visité" xfId="214" builtinId="9" hidden="1"/>
    <cellStyle name="Lien hypertexte visité" xfId="215" builtinId="9" hidden="1"/>
    <cellStyle name="Lien hypertexte visité" xfId="216" builtinId="9" hidden="1"/>
    <cellStyle name="Lien hypertexte visité" xfId="217" builtinId="9" hidden="1"/>
    <cellStyle name="Lien hypertexte visité" xfId="218" builtinId="9" hidden="1"/>
    <cellStyle name="Lien hypertexte visité" xfId="219" builtinId="9" hidden="1"/>
    <cellStyle name="Lien hypertexte visité" xfId="220" builtinId="9" hidden="1"/>
    <cellStyle name="Lien hypertexte visité" xfId="221" builtinId="9" hidden="1"/>
    <cellStyle name="Lien hypertexte visité" xfId="222" builtinId="9" hidden="1"/>
    <cellStyle name="Lien hypertexte visité" xfId="223" builtinId="9" hidden="1"/>
    <cellStyle name="Lien hypertexte visité" xfId="224" builtinId="9" hidden="1"/>
    <cellStyle name="Lien hypertexte visité" xfId="225" builtinId="9" hidden="1"/>
    <cellStyle name="Lien hypertexte visité" xfId="226" builtinId="9" hidden="1"/>
    <cellStyle name="Lien hypertexte visité" xfId="227" builtinId="9" hidden="1"/>
    <cellStyle name="Lien hypertexte visité" xfId="228" builtinId="9" hidden="1"/>
    <cellStyle name="Lien hypertexte visité" xfId="229" builtinId="9" hidden="1"/>
    <cellStyle name="Lien hypertexte visité" xfId="230" builtinId="9" hidden="1"/>
    <cellStyle name="Lien hypertexte visité" xfId="231" builtinId="9" hidden="1"/>
    <cellStyle name="Lien hypertexte visité" xfId="232" builtinId="9" hidden="1"/>
    <cellStyle name="Lien hypertexte visité" xfId="233" builtinId="9" hidden="1"/>
    <cellStyle name="Lien hypertexte visité" xfId="234" builtinId="9" hidden="1"/>
    <cellStyle name="Lien hypertexte visité" xfId="235" builtinId="9" hidden="1"/>
    <cellStyle name="Lien hypertexte visité" xfId="236" builtinId="9" hidden="1"/>
    <cellStyle name="Lien hypertexte visité" xfId="237" builtinId="9" hidden="1"/>
    <cellStyle name="Lien hypertexte visité" xfId="238" builtinId="9" hidden="1"/>
    <cellStyle name="Lien hypertexte visité" xfId="239" builtinId="9" hidden="1"/>
    <cellStyle name="Lien hypertexte visité" xfId="240" builtinId="9" hidden="1"/>
    <cellStyle name="Lien hypertexte visité" xfId="241" builtinId="9" hidden="1"/>
    <cellStyle name="Lien hypertexte visité" xfId="242" builtinId="9" hidden="1"/>
    <cellStyle name="Lien hypertexte visité" xfId="243" builtinId="9" hidden="1"/>
    <cellStyle name="Lien hypertexte visité" xfId="244" builtinId="9" hidden="1"/>
    <cellStyle name="Lien hypertexte visité" xfId="246" builtinId="9" hidden="1"/>
    <cellStyle name="Lien hypertexte visité" xfId="247" builtinId="9" hidden="1"/>
    <cellStyle name="Lien hypertexte visité" xfId="248" builtinId="9" hidden="1"/>
    <cellStyle name="Lien hypertexte visité" xfId="249" builtinId="9" hidden="1"/>
    <cellStyle name="Lien hypertexte visité" xfId="250" builtinId="9" hidden="1"/>
    <cellStyle name="Lien hypertexte visité" xfId="251" builtinId="9" hidden="1"/>
    <cellStyle name="Lien hypertexte visité" xfId="252" builtinId="9" hidden="1"/>
    <cellStyle name="Lien hypertexte visité" xfId="253" builtinId="9" hidden="1"/>
    <cellStyle name="Lien hypertexte visité" xfId="254" builtinId="9" hidden="1"/>
    <cellStyle name="Lien hypertexte visité" xfId="255" builtinId="9" hidden="1"/>
    <cellStyle name="Lien hypertexte visité" xfId="256" builtinId="9" hidden="1"/>
    <cellStyle name="Lien hypertexte visité" xfId="257" builtinId="9" hidden="1"/>
    <cellStyle name="Lien hypertexte visité" xfId="258" builtinId="9" hidden="1"/>
    <cellStyle name="Lien hypertexte visité" xfId="259" builtinId="9" hidden="1"/>
    <cellStyle name="Lien hypertexte visité" xfId="260" builtinId="9" hidden="1"/>
    <cellStyle name="Lien hypertexte visité" xfId="261" builtinId="9" hidden="1"/>
    <cellStyle name="Lien hypertexte visité" xfId="262" builtinId="9" hidden="1"/>
    <cellStyle name="Lien hypertexte visité" xfId="263" builtinId="9" hidden="1"/>
    <cellStyle name="Lien hypertexte visité" xfId="264" builtinId="9" hidden="1"/>
    <cellStyle name="Lien hypertexte visité" xfId="265" builtinId="9" hidden="1"/>
    <cellStyle name="Lien hypertexte visité" xfId="266" builtinId="9" hidden="1"/>
    <cellStyle name="Lien hypertexte visité" xfId="267" builtinId="9" hidden="1"/>
    <cellStyle name="Lien hypertexte visité" xfId="268" builtinId="9" hidden="1"/>
    <cellStyle name="Lien hypertexte visité" xfId="269" builtinId="9" hidden="1"/>
    <cellStyle name="Lien hypertexte visité" xfId="270" builtinId="9" hidden="1"/>
    <cellStyle name="Lien hypertexte visité" xfId="271" builtinId="9" hidden="1"/>
    <cellStyle name="Lien hypertexte visité" xfId="272" builtinId="9" hidden="1"/>
    <cellStyle name="Lien hypertexte visité" xfId="273" builtinId="9" hidden="1"/>
    <cellStyle name="Lien hypertexte visité" xfId="274" builtinId="9" hidden="1"/>
    <cellStyle name="Lien hypertexte visité" xfId="275" builtinId="9" hidden="1"/>
    <cellStyle name="Lien hypertexte visité" xfId="276" builtinId="9" hidden="1"/>
    <cellStyle name="Lien hypertexte visité" xfId="277" builtinId="9" hidden="1"/>
    <cellStyle name="Lien hypertexte visité" xfId="278" builtinId="9" hidden="1"/>
    <cellStyle name="Lien hypertexte visité" xfId="279" builtinId="9" hidden="1"/>
    <cellStyle name="Lien hypertexte visité" xfId="280" builtinId="9" hidden="1"/>
    <cellStyle name="Lien hypertexte visité" xfId="281" builtinId="9" hidden="1"/>
    <cellStyle name="Lien hypertexte visité" xfId="282" builtinId="9" hidden="1"/>
    <cellStyle name="Lien hypertexte visité" xfId="283" builtinId="9" hidden="1"/>
    <cellStyle name="Lien hypertexte visité" xfId="284" builtinId="9" hidden="1"/>
    <cellStyle name="Lien hypertexte visité" xfId="285" builtinId="9" hidden="1"/>
    <cellStyle name="Lien hypertexte visité" xfId="286" builtinId="9" hidden="1"/>
    <cellStyle name="Lien hypertexte visité" xfId="287" builtinId="9" hidden="1"/>
    <cellStyle name="Lien hypertexte visité" xfId="288" builtinId="9" hidden="1"/>
    <cellStyle name="Lien hypertexte visité" xfId="289" builtinId="9" hidden="1"/>
    <cellStyle name="Lien hypertexte visité" xfId="290" builtinId="9" hidden="1"/>
    <cellStyle name="Lien hypertexte visité" xfId="291" builtinId="9" hidden="1"/>
    <cellStyle name="Lien hypertexte visité" xfId="292" builtinId="9" hidden="1"/>
    <cellStyle name="Lien hypertexte visité" xfId="293" builtinId="9" hidden="1"/>
    <cellStyle name="Lien hypertexte visité" xfId="294" builtinId="9" hidden="1"/>
    <cellStyle name="Lien hypertexte visité" xfId="295" builtinId="9" hidden="1"/>
    <cellStyle name="Lien hypertexte visité" xfId="296" builtinId="9" hidden="1"/>
    <cellStyle name="Lien hypertexte visité" xfId="297" builtinId="9" hidden="1"/>
    <cellStyle name="Lien hypertexte visité" xfId="298" builtinId="9" hidden="1"/>
    <cellStyle name="Lien hypertexte visité" xfId="299" builtinId="9" hidden="1"/>
    <cellStyle name="Lien hypertexte visité" xfId="300" builtinId="9" hidden="1"/>
    <cellStyle name="Lien hypertexte visité" xfId="301" builtinId="9" hidden="1"/>
    <cellStyle name="Lien hypertexte visité" xfId="302" builtinId="9" hidden="1"/>
    <cellStyle name="Lien hypertexte visité" xfId="303" builtinId="9" hidden="1"/>
    <cellStyle name="Lien hypertexte visité" xfId="304" builtinId="9" hidden="1"/>
    <cellStyle name="Lien hypertexte visité" xfId="305" builtinId="9" hidden="1"/>
    <cellStyle name="Lien hypertexte visité" xfId="306" builtinId="9" hidden="1"/>
    <cellStyle name="Lien hypertexte visité" xfId="307" builtinId="9" hidden="1"/>
    <cellStyle name="Lien hypertexte visité" xfId="308" builtinId="9" hidden="1"/>
    <cellStyle name="Lien hypertexte visité" xfId="309" builtinId="9" hidden="1"/>
    <cellStyle name="Lien hypertexte visité" xfId="310" builtinId="9" hidden="1"/>
    <cellStyle name="Lien hypertexte visité" xfId="311" builtinId="9" hidden="1"/>
    <cellStyle name="Lien hypertexte visité" xfId="312" builtinId="9" hidden="1"/>
    <cellStyle name="Lien hypertexte visité" xfId="313" builtinId="9" hidden="1"/>
    <cellStyle name="Lien hypertexte visité" xfId="314" builtinId="9" hidden="1"/>
    <cellStyle name="Lien hypertexte visité" xfId="315" builtinId="9" hidden="1"/>
    <cellStyle name="Lien hypertexte visité" xfId="316" builtinId="9" hidden="1"/>
    <cellStyle name="Lien hypertexte visité" xfId="317" builtinId="9" hidden="1"/>
    <cellStyle name="Lien hypertexte visité" xfId="318" builtinId="9" hidden="1"/>
    <cellStyle name="Lien hypertexte visité" xfId="319" builtinId="9" hidden="1"/>
    <cellStyle name="Lien hypertexte visité" xfId="320" builtinId="9" hidden="1"/>
    <cellStyle name="Lien hypertexte visité" xfId="321" builtinId="9" hidden="1"/>
    <cellStyle name="Lien hypertexte visité" xfId="322" builtinId="9" hidden="1"/>
    <cellStyle name="Lien hypertexte visité" xfId="323" builtinId="9" hidden="1"/>
    <cellStyle name="Lien hypertexte visité" xfId="324" builtinId="9" hidden="1"/>
    <cellStyle name="Lien hypertexte visité" xfId="325" builtinId="9" hidden="1"/>
    <cellStyle name="Lien hypertexte visité" xfId="326" builtinId="9" hidden="1"/>
    <cellStyle name="Lien hypertexte visité" xfId="327" builtinId="9" hidden="1"/>
    <cellStyle name="Lien hypertexte visité" xfId="328" builtinId="9" hidden="1"/>
    <cellStyle name="Lien hypertexte visité" xfId="329" builtinId="9" hidden="1"/>
    <cellStyle name="Lien hypertexte visité" xfId="330" builtinId="9" hidden="1"/>
    <cellStyle name="Lien hypertexte visité" xfId="331" builtinId="9" hidden="1"/>
    <cellStyle name="Lien hypertexte visité" xfId="332" builtinId="9" hidden="1"/>
    <cellStyle name="Lien hypertexte visité" xfId="333" builtinId="9" hidden="1"/>
    <cellStyle name="Lien hypertexte visité" xfId="334" builtinId="9" hidden="1"/>
    <cellStyle name="Lien hypertexte visité" xfId="335" builtinId="9" hidden="1"/>
    <cellStyle name="Lien hypertexte visité" xfId="336" builtinId="9" hidden="1"/>
    <cellStyle name="Lien hypertexte visité" xfId="337" builtinId="9" hidden="1"/>
    <cellStyle name="Lien hypertexte visité" xfId="338" builtinId="9" hidden="1"/>
    <cellStyle name="Lien hypertexte visité" xfId="339" builtinId="9" hidden="1"/>
    <cellStyle name="Lien hypertexte visité" xfId="340" builtinId="9" hidden="1"/>
    <cellStyle name="Lien hypertexte visité" xfId="341" builtinId="9" hidden="1"/>
    <cellStyle name="Lien hypertexte visité" xfId="342" builtinId="9" hidden="1"/>
    <cellStyle name="Lien hypertexte visité" xfId="343" builtinId="9" hidden="1"/>
    <cellStyle name="Lien hypertexte visité" xfId="344" builtinId="9" hidden="1"/>
    <cellStyle name="Lien hypertexte visité" xfId="345" builtinId="9" hidden="1"/>
    <cellStyle name="Lien hypertexte visité" xfId="346" builtinId="9" hidden="1"/>
    <cellStyle name="Lien hypertexte visité" xfId="347" builtinId="9" hidden="1"/>
    <cellStyle name="Lien hypertexte visité" xfId="348" builtinId="9" hidden="1"/>
    <cellStyle name="Lien hypertexte visité" xfId="349" builtinId="9" hidden="1"/>
    <cellStyle name="Lien hypertexte visité" xfId="350" builtinId="9" hidden="1"/>
    <cellStyle name="Lien hypertexte visité" xfId="351" builtinId="9" hidden="1"/>
    <cellStyle name="Lien hypertexte visité" xfId="352" builtinId="9" hidden="1"/>
    <cellStyle name="Lien hypertexte visité" xfId="353" builtinId="9" hidden="1"/>
    <cellStyle name="Lien hypertexte visité" xfId="354" builtinId="9" hidden="1"/>
    <cellStyle name="Lien hypertexte visité" xfId="355" builtinId="9" hidden="1"/>
    <cellStyle name="Lien hypertexte visité" xfId="356" builtinId="9" hidden="1"/>
    <cellStyle name="Lien hypertexte visité" xfId="357" builtinId="9" hidden="1"/>
    <cellStyle name="Lien hypertexte visité" xfId="358" builtinId="9" hidden="1"/>
    <cellStyle name="Lien hypertexte visité" xfId="359" builtinId="9" hidden="1"/>
    <cellStyle name="Lien hypertexte visité" xfId="360" builtinId="9" hidden="1"/>
    <cellStyle name="Lien hypertexte visité" xfId="361" builtinId="9" hidden="1"/>
    <cellStyle name="Lien hypertexte visité" xfId="362" builtinId="9" hidden="1"/>
    <cellStyle name="Lien hypertexte visité" xfId="363" builtinId="9" hidden="1"/>
    <cellStyle name="Lien hypertexte visité" xfId="364" builtinId="9" hidden="1"/>
    <cellStyle name="Lien hypertexte visité" xfId="365" builtinId="9" hidden="1"/>
    <cellStyle name="Lien hypertexte visité" xfId="366" builtinId="9" hidden="1"/>
    <cellStyle name="Lien hypertexte visité" xfId="367" builtinId="9" hidden="1"/>
    <cellStyle name="Lien hypertexte visité" xfId="368" builtinId="9" hidden="1"/>
    <cellStyle name="Lien hypertexte visité" xfId="369" builtinId="9" hidden="1"/>
    <cellStyle name="Lien hypertexte visité" xfId="370" builtinId="9" hidden="1"/>
    <cellStyle name="Lien hypertexte visité" xfId="371" builtinId="9" hidden="1"/>
    <cellStyle name="Lien hypertexte visité" xfId="372" builtinId="9" hidden="1"/>
    <cellStyle name="Lien hypertexte visité" xfId="373" builtinId="9" hidden="1"/>
    <cellStyle name="Lien hypertexte visité" xfId="374" builtinId="9" hidden="1"/>
    <cellStyle name="Lien hypertexte visité" xfId="375" builtinId="9" hidden="1"/>
    <cellStyle name="Lien hypertexte visité" xfId="376" builtinId="9" hidden="1"/>
    <cellStyle name="Lien hypertexte visité" xfId="377" builtinId="9" hidden="1"/>
    <cellStyle name="Lien hypertexte visité" xfId="378" builtinId="9" hidden="1"/>
    <cellStyle name="Lien hypertexte visité" xfId="379" builtinId="9" hidden="1"/>
    <cellStyle name="Lien hypertexte visité" xfId="380" builtinId="9" hidden="1"/>
    <cellStyle name="Lien hypertexte visité" xfId="381" builtinId="9" hidden="1"/>
    <cellStyle name="Lien hypertexte visité" xfId="382" builtinId="9" hidden="1"/>
    <cellStyle name="Lien hypertexte visité" xfId="383" builtinId="9" hidden="1"/>
    <cellStyle name="Lien hypertexte visité" xfId="384" builtinId="9" hidden="1"/>
    <cellStyle name="Lien hypertexte visité" xfId="385" builtinId="9" hidden="1"/>
    <cellStyle name="Lien hypertexte visité" xfId="386" builtinId="9" hidden="1"/>
    <cellStyle name="Lien hypertexte visité" xfId="387" builtinId="9" hidden="1"/>
    <cellStyle name="Lien hypertexte visité" xfId="388" builtinId="9" hidden="1"/>
    <cellStyle name="Lien hypertexte visité" xfId="389" builtinId="9" hidden="1"/>
    <cellStyle name="Lien hypertexte visité" xfId="390" builtinId="9" hidden="1"/>
    <cellStyle name="Lien hypertexte visité" xfId="391" builtinId="9" hidden="1"/>
    <cellStyle name="Lien hypertexte visité" xfId="392" builtinId="9" hidden="1"/>
    <cellStyle name="Lien hypertexte visité" xfId="393" builtinId="9" hidden="1"/>
    <cellStyle name="Lien hypertexte visité" xfId="394" builtinId="9" hidden="1"/>
    <cellStyle name="Lien hypertexte visité" xfId="395" builtinId="9" hidden="1"/>
    <cellStyle name="Lien hypertexte visité" xfId="396" builtinId="9" hidden="1"/>
    <cellStyle name="Lien hypertexte visité" xfId="397" builtinId="9" hidden="1"/>
    <cellStyle name="Lien hypertexte visité" xfId="398" builtinId="9" hidden="1"/>
    <cellStyle name="Lien hypertexte visité" xfId="399" builtinId="9" hidden="1"/>
    <cellStyle name="Lien hypertexte visité" xfId="400" builtinId="9" hidden="1"/>
    <cellStyle name="Lien hypertexte visité" xfId="401" builtinId="9" hidden="1"/>
    <cellStyle name="Lien hypertexte visité" xfId="402" builtinId="9" hidden="1"/>
    <cellStyle name="Lien hypertexte visité" xfId="403" builtinId="9" hidden="1"/>
    <cellStyle name="Lien hypertexte visité" xfId="404" builtinId="9" hidden="1"/>
    <cellStyle name="Lien hypertexte visité" xfId="405" builtinId="9" hidden="1"/>
    <cellStyle name="Lien hypertexte visité" xfId="406" builtinId="9" hidden="1"/>
    <cellStyle name="Lien hypertexte visité" xfId="407" builtinId="9" hidden="1"/>
    <cellStyle name="Lien hypertexte visité" xfId="408" builtinId="9" hidden="1"/>
    <cellStyle name="Lien hypertexte visité" xfId="409" builtinId="9" hidden="1"/>
    <cellStyle name="Lien hypertexte visité" xfId="410" builtinId="9" hidden="1"/>
    <cellStyle name="Lien hypertexte visité" xfId="411" builtinId="9" hidden="1"/>
    <cellStyle name="Lien hypertexte visité" xfId="412" builtinId="9" hidden="1"/>
    <cellStyle name="Lien hypertexte visité" xfId="413" builtinId="9" hidden="1"/>
    <cellStyle name="Lien hypertexte visité" xfId="414" builtinId="9" hidden="1"/>
    <cellStyle name="Lien hypertexte visité" xfId="415" builtinId="9" hidden="1"/>
    <cellStyle name="Lien hypertexte visité" xfId="416" builtinId="9" hidden="1"/>
    <cellStyle name="Lien hypertexte visité" xfId="417" builtinId="9" hidden="1"/>
    <cellStyle name="Lien hypertexte visité" xfId="418" builtinId="9" hidden="1"/>
    <cellStyle name="Lien hypertexte visité" xfId="419" builtinId="9" hidden="1"/>
    <cellStyle name="Lien hypertexte visité" xfId="420" builtinId="9" hidden="1"/>
    <cellStyle name="Lien hypertexte visité" xfId="421" builtinId="9" hidden="1"/>
    <cellStyle name="Lien hypertexte visité" xfId="422" builtinId="9" hidden="1"/>
    <cellStyle name="Lien hypertexte visité" xfId="423" builtinId="9" hidden="1"/>
    <cellStyle name="Lien hypertexte visité" xfId="424" builtinId="9" hidden="1"/>
    <cellStyle name="Lien hypertexte visité" xfId="425" builtinId="9" hidden="1"/>
    <cellStyle name="Lien hypertexte visité" xfId="426" builtinId="9" hidden="1"/>
    <cellStyle name="Lien hypertexte visité" xfId="427" builtinId="9" hidden="1"/>
    <cellStyle name="Lien hypertexte visité" xfId="428" builtinId="9" hidden="1"/>
    <cellStyle name="Lien hypertexte visité" xfId="429" builtinId="9" hidden="1"/>
    <cellStyle name="Lien hypertexte visité" xfId="430" builtinId="9" hidden="1"/>
    <cellStyle name="Lien hypertexte visité" xfId="431" builtinId="9" hidden="1"/>
    <cellStyle name="Lien hypertexte visité" xfId="432" builtinId="9" hidden="1"/>
    <cellStyle name="Lien hypertexte visité" xfId="433" builtinId="9" hidden="1"/>
    <cellStyle name="Lien hypertexte visité" xfId="434" builtinId="9" hidden="1"/>
    <cellStyle name="Lien hypertexte visité" xfId="435" builtinId="9" hidden="1"/>
    <cellStyle name="Monétaire" xfId="245" builtinId="4"/>
    <cellStyle name="Monétaire 2" xfId="42"/>
    <cellStyle name="Monétaire 2 2" xfId="43"/>
    <cellStyle name="Monétaire 3" xfId="44"/>
    <cellStyle name="Monétaire 4" xfId="45"/>
    <cellStyle name="Normal" xfId="0" builtinId="0" customBuiltin="1"/>
    <cellStyle name="Normal 2" xfId="46"/>
    <cellStyle name="Normal 3" xfId="47"/>
    <cellStyle name="Pourcentage" xfId="1" builtinId="5"/>
    <cellStyle name="Pourcentage 2" xfId="41"/>
    <cellStyle name="Pourcentage 3" xfId="48"/>
    <cellStyle name="Pourcentage 4" xfId="49"/>
    <cellStyle name="Pourcentage 5" xfId="50"/>
    <cellStyle name="Pourcentage 6" xfId="18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4" Type="http://schemas.openxmlformats.org/officeDocument/2006/relationships/image" Target="../media/image5.png"/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4" Type="http://schemas.openxmlformats.org/officeDocument/2006/relationships/image" Target="../media/image9.png"/><Relationship Id="rId5" Type="http://schemas.openxmlformats.org/officeDocument/2006/relationships/image" Target="../media/image10.png"/><Relationship Id="rId6" Type="http://schemas.openxmlformats.org/officeDocument/2006/relationships/image" Target="../media/image11.png"/><Relationship Id="rId1" Type="http://schemas.openxmlformats.org/officeDocument/2006/relationships/image" Target="../media/image4.png"/><Relationship Id="rId2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4" Type="http://schemas.openxmlformats.org/officeDocument/2006/relationships/image" Target="../media/image8.png"/><Relationship Id="rId1" Type="http://schemas.openxmlformats.org/officeDocument/2006/relationships/image" Target="../media/image12.png"/><Relationship Id="rId2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4" Type="http://schemas.openxmlformats.org/officeDocument/2006/relationships/image" Target="../media/image15.png"/><Relationship Id="rId5" Type="http://schemas.openxmlformats.org/officeDocument/2006/relationships/image" Target="../media/image6.jpg"/><Relationship Id="rId1" Type="http://schemas.openxmlformats.org/officeDocument/2006/relationships/image" Target="../media/image8.png"/><Relationship Id="rId2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25400</xdr:rowOff>
    </xdr:from>
    <xdr:to>
      <xdr:col>12</xdr:col>
      <xdr:colOff>12700</xdr:colOff>
      <xdr:row>31</xdr:row>
      <xdr:rowOff>180116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400"/>
          <a:ext cx="9918700" cy="47267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628316</xdr:colOff>
      <xdr:row>16</xdr:row>
      <xdr:rowOff>53474</xdr:rowOff>
    </xdr:from>
    <xdr:to>
      <xdr:col>4</xdr:col>
      <xdr:colOff>635000</xdr:colOff>
      <xdr:row>16</xdr:row>
      <xdr:rowOff>393032</xdr:rowOff>
    </xdr:to>
    <xdr:cxnSp macro="">
      <xdr:nvCxnSpPr>
        <xdr:cNvPr id="3" name="Connecteur droit avec flèche 2"/>
        <xdr:cNvCxnSpPr/>
      </xdr:nvCxnSpPr>
      <xdr:spPr>
        <a:xfrm>
          <a:off x="4358105" y="4531895"/>
          <a:ext cx="6684" cy="339558"/>
        </a:xfrm>
        <a:prstGeom prst="straightConnector1">
          <a:avLst/>
        </a:prstGeom>
        <a:ln w="38100" cmpd="sng">
          <a:solidFill>
            <a:schemeClr val="tx1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1168400</xdr:colOff>
      <xdr:row>8</xdr:row>
      <xdr:rowOff>38100</xdr:rowOff>
    </xdr:from>
    <xdr:to>
      <xdr:col>26</xdr:col>
      <xdr:colOff>1168400</xdr:colOff>
      <xdr:row>10</xdr:row>
      <xdr:rowOff>0</xdr:rowOff>
    </xdr:to>
    <xdr:cxnSp macro="">
      <xdr:nvCxnSpPr>
        <xdr:cNvPr id="4" name="Connecteur droit avec flèche 3"/>
        <xdr:cNvCxnSpPr/>
      </xdr:nvCxnSpPr>
      <xdr:spPr>
        <a:xfrm>
          <a:off x="26619200" y="2273300"/>
          <a:ext cx="0" cy="368300"/>
        </a:xfrm>
        <a:prstGeom prst="straightConnector1">
          <a:avLst/>
        </a:prstGeom>
        <a:ln w="38100" cmpd="sng">
          <a:solidFill>
            <a:schemeClr val="tx1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1193800</xdr:colOff>
      <xdr:row>13</xdr:row>
      <xdr:rowOff>254000</xdr:rowOff>
    </xdr:from>
    <xdr:to>
      <xdr:col>26</xdr:col>
      <xdr:colOff>1193800</xdr:colOff>
      <xdr:row>15</xdr:row>
      <xdr:rowOff>88900</xdr:rowOff>
    </xdr:to>
    <xdr:cxnSp macro="">
      <xdr:nvCxnSpPr>
        <xdr:cNvPr id="8" name="Connecteur droit avec flèche 7"/>
        <xdr:cNvCxnSpPr/>
      </xdr:nvCxnSpPr>
      <xdr:spPr>
        <a:xfrm>
          <a:off x="26644600" y="3365500"/>
          <a:ext cx="0" cy="368300"/>
        </a:xfrm>
        <a:prstGeom prst="straightConnector1">
          <a:avLst/>
        </a:prstGeom>
        <a:ln w="38100" cmpd="sng">
          <a:solidFill>
            <a:schemeClr val="tx1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39</xdr:row>
      <xdr:rowOff>143487</xdr:rowOff>
    </xdr:from>
    <xdr:to>
      <xdr:col>5</xdr:col>
      <xdr:colOff>194456</xdr:colOff>
      <xdr:row>70</xdr:row>
      <xdr:rowOff>81280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7672047"/>
          <a:ext cx="5030616" cy="59220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62926</xdr:rowOff>
    </xdr:from>
    <xdr:to>
      <xdr:col>5</xdr:col>
      <xdr:colOff>121920</xdr:colOff>
      <xdr:row>16</xdr:row>
      <xdr:rowOff>96534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00286"/>
          <a:ext cx="5140960" cy="21570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30480</xdr:rowOff>
    </xdr:from>
    <xdr:to>
      <xdr:col>13</xdr:col>
      <xdr:colOff>586740</xdr:colOff>
      <xdr:row>12</xdr:row>
      <xdr:rowOff>104140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3360" y="1960880"/>
          <a:ext cx="5829300" cy="1231900"/>
        </a:xfrm>
        <a:prstGeom prst="rect">
          <a:avLst/>
        </a:prstGeom>
      </xdr:spPr>
    </xdr:pic>
    <xdr:clientData/>
  </xdr:twoCellAnchor>
  <xdr:twoCellAnchor editAs="oneCell">
    <xdr:from>
      <xdr:col>5</xdr:col>
      <xdr:colOff>944880</xdr:colOff>
      <xdr:row>48</xdr:row>
      <xdr:rowOff>0</xdr:rowOff>
    </xdr:from>
    <xdr:to>
      <xdr:col>11</xdr:col>
      <xdr:colOff>650240</xdr:colOff>
      <xdr:row>64</xdr:row>
      <xdr:rowOff>34433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72480" y="9265920"/>
          <a:ext cx="5100320" cy="31230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165100</xdr:rowOff>
    </xdr:from>
    <xdr:to>
      <xdr:col>15</xdr:col>
      <xdr:colOff>685800</xdr:colOff>
      <xdr:row>9</xdr:row>
      <xdr:rowOff>63500</xdr:rowOff>
    </xdr:to>
    <xdr:sp macro="" textlink="">
      <xdr:nvSpPr>
        <xdr:cNvPr id="2" name="ZoneTexte 1"/>
        <xdr:cNvSpPr txBox="1"/>
      </xdr:nvSpPr>
      <xdr:spPr>
        <a:xfrm>
          <a:off x="0" y="355600"/>
          <a:ext cx="13741400" cy="142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/>
            <a:t>Étude SDG : Risques identifiés </a:t>
          </a:r>
        </a:p>
        <a:p>
          <a:r>
            <a:rPr lang="fr-FR" sz="1400"/>
            <a:t>« Tarif : il existe une certaine incertitude quant au tarif qui sera exigé sur le REM. Le scénario du promoteur s’appuie sur l’hypothèse que le tarif du REM sera semblable à la structure tarifaire en vigueur dans la région métropolitaine de Montréal. Toutefois, si l’on suppose que les tarifs seront différents, par exemple</a:t>
          </a:r>
          <a:r>
            <a:rPr lang="fr-FR" sz="1400" b="1"/>
            <a:t>, si les tarifs de la STM étaient en vigueur aux gares du REM </a:t>
          </a:r>
          <a:r>
            <a:rPr lang="fr-FR" sz="1400"/>
            <a:t>sur l’île de Montréal, le tarif global diminuerait et l’achalandage augmenterait sur le REM</a:t>
          </a:r>
          <a:r>
            <a:rPr lang="fr-FR" sz="1400" b="1"/>
            <a:t>, au détriment des lignes d’autobus express et de métro</a:t>
          </a:r>
          <a:r>
            <a:rPr lang="fr-FR" sz="1400"/>
            <a:t>. » </a:t>
          </a:r>
        </a:p>
        <a:p>
          <a:r>
            <a:rPr lang="fr-FR" sz="1400"/>
            <a:t>Steer davies gleave, BAPE, DA97.1.1 p 56 </a:t>
          </a:r>
        </a:p>
        <a:p>
          <a:r>
            <a:rPr lang="fr-FR" sz="1400"/>
            <a:t>www.bape.gouv.qc.ca/sections/mandats/Reseau_electrique_métropolitain/documents/DA97.1.1.pdf</a:t>
          </a:r>
        </a:p>
      </xdr:txBody>
    </xdr:sp>
    <xdr:clientData/>
  </xdr:twoCellAnchor>
  <xdr:twoCellAnchor editAs="oneCell">
    <xdr:from>
      <xdr:col>3</xdr:col>
      <xdr:colOff>533400</xdr:colOff>
      <xdr:row>29</xdr:row>
      <xdr:rowOff>266700</xdr:rowOff>
    </xdr:from>
    <xdr:to>
      <xdr:col>17</xdr:col>
      <xdr:colOff>326768</xdr:colOff>
      <xdr:row>38</xdr:row>
      <xdr:rowOff>241300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6400" y="7124700"/>
          <a:ext cx="11350368" cy="2489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482600</xdr:colOff>
      <xdr:row>4</xdr:row>
      <xdr:rowOff>63500</xdr:rowOff>
    </xdr:from>
    <xdr:to>
      <xdr:col>7</xdr:col>
      <xdr:colOff>1041400</xdr:colOff>
      <xdr:row>10</xdr:row>
      <xdr:rowOff>152400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825500"/>
          <a:ext cx="5829300" cy="12319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43</xdr:row>
      <xdr:rowOff>177801</xdr:rowOff>
    </xdr:from>
    <xdr:to>
      <xdr:col>5</xdr:col>
      <xdr:colOff>1079500</xdr:colOff>
      <xdr:row>70</xdr:row>
      <xdr:rowOff>146627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2654301"/>
          <a:ext cx="4152900" cy="5518726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</xdr:colOff>
      <xdr:row>16</xdr:row>
      <xdr:rowOff>62742</xdr:rowOff>
    </xdr:from>
    <xdr:to>
      <xdr:col>17</xdr:col>
      <xdr:colOff>169518</xdr:colOff>
      <xdr:row>30</xdr:row>
      <xdr:rowOff>12700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40900" y="3110742"/>
          <a:ext cx="7370418" cy="26169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12700</xdr:rowOff>
    </xdr:from>
    <xdr:to>
      <xdr:col>7</xdr:col>
      <xdr:colOff>127000</xdr:colOff>
      <xdr:row>29</xdr:row>
      <xdr:rowOff>127000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060700"/>
          <a:ext cx="7340600" cy="2590800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37</xdr:row>
      <xdr:rowOff>76200</xdr:rowOff>
    </xdr:from>
    <xdr:to>
      <xdr:col>8</xdr:col>
      <xdr:colOff>1079500</xdr:colOff>
      <xdr:row>40</xdr:row>
      <xdr:rowOff>152400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36900" y="6578600"/>
          <a:ext cx="5829300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584199</xdr:colOff>
      <xdr:row>36</xdr:row>
      <xdr:rowOff>88900</xdr:rowOff>
    </xdr:from>
    <xdr:to>
      <xdr:col>15</xdr:col>
      <xdr:colOff>200292</xdr:colOff>
      <xdr:row>43</xdr:row>
      <xdr:rowOff>152400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66199" y="6388100"/>
          <a:ext cx="4950093" cy="1409700"/>
        </a:xfrm>
        <a:prstGeom prst="rect">
          <a:avLst/>
        </a:prstGeom>
      </xdr:spPr>
    </xdr:pic>
    <xdr:clientData/>
  </xdr:twoCellAnchor>
  <xdr:twoCellAnchor>
    <xdr:from>
      <xdr:col>3</xdr:col>
      <xdr:colOff>533400</xdr:colOff>
      <xdr:row>107</xdr:row>
      <xdr:rowOff>25400</xdr:rowOff>
    </xdr:from>
    <xdr:to>
      <xdr:col>3</xdr:col>
      <xdr:colOff>533400</xdr:colOff>
      <xdr:row>109</xdr:row>
      <xdr:rowOff>0</xdr:rowOff>
    </xdr:to>
    <xdr:cxnSp macro="">
      <xdr:nvCxnSpPr>
        <xdr:cNvPr id="8" name="Connecteur droit avec flèche 7"/>
        <xdr:cNvCxnSpPr/>
      </xdr:nvCxnSpPr>
      <xdr:spPr>
        <a:xfrm>
          <a:off x="3606800" y="20828000"/>
          <a:ext cx="0" cy="381000"/>
        </a:xfrm>
        <a:prstGeom prst="straightConnector1">
          <a:avLst/>
        </a:prstGeom>
        <a:ln w="38100" cmpd="sng">
          <a:solidFill>
            <a:schemeClr val="tx1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533400</xdr:colOff>
      <xdr:row>107</xdr:row>
      <xdr:rowOff>25400</xdr:rowOff>
    </xdr:from>
    <xdr:to>
      <xdr:col>18</xdr:col>
      <xdr:colOff>533400</xdr:colOff>
      <xdr:row>109</xdr:row>
      <xdr:rowOff>0</xdr:rowOff>
    </xdr:to>
    <xdr:cxnSp macro="">
      <xdr:nvCxnSpPr>
        <xdr:cNvPr id="9" name="Connecteur droit avec flèche 8"/>
        <xdr:cNvCxnSpPr/>
      </xdr:nvCxnSpPr>
      <xdr:spPr>
        <a:xfrm>
          <a:off x="3606800" y="20828000"/>
          <a:ext cx="0" cy="381000"/>
        </a:xfrm>
        <a:prstGeom prst="straightConnector1">
          <a:avLst/>
        </a:prstGeom>
        <a:ln w="38100" cmpd="sng">
          <a:solidFill>
            <a:schemeClr val="tx1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284480</xdr:colOff>
      <xdr:row>0</xdr:row>
      <xdr:rowOff>111760</xdr:rowOff>
    </xdr:from>
    <xdr:to>
      <xdr:col>13</xdr:col>
      <xdr:colOff>436880</xdr:colOff>
      <xdr:row>12</xdr:row>
      <xdr:rowOff>56253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1120" y="111760"/>
          <a:ext cx="5506720" cy="22711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57728</xdr:colOff>
      <xdr:row>22</xdr:row>
      <xdr:rowOff>184728</xdr:rowOff>
    </xdr:from>
    <xdr:to>
      <xdr:col>25</xdr:col>
      <xdr:colOff>437574</xdr:colOff>
      <xdr:row>36</xdr:row>
      <xdr:rowOff>50339</xdr:rowOff>
    </xdr:to>
    <xdr:pic>
      <xdr:nvPicPr>
        <xdr:cNvPr id="2" name="Image 1" descr="Capture d’écran 2018-05-09 à 23.04.37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3528" y="3816928"/>
          <a:ext cx="7809345" cy="2537691"/>
        </a:xfrm>
        <a:prstGeom prst="rect">
          <a:avLst/>
        </a:prstGeom>
      </xdr:spPr>
    </xdr:pic>
    <xdr:clientData/>
  </xdr:twoCellAnchor>
  <xdr:twoCellAnchor editAs="oneCell">
    <xdr:from>
      <xdr:col>5</xdr:col>
      <xdr:colOff>113144</xdr:colOff>
      <xdr:row>14</xdr:row>
      <xdr:rowOff>49167</xdr:rowOff>
    </xdr:from>
    <xdr:to>
      <xdr:col>10</xdr:col>
      <xdr:colOff>12468</xdr:colOff>
      <xdr:row>41</xdr:row>
      <xdr:rowOff>15466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4584" y="2751727"/>
          <a:ext cx="3892204" cy="5178379"/>
        </a:xfrm>
        <a:prstGeom prst="rect">
          <a:avLst/>
        </a:prstGeom>
      </xdr:spPr>
    </xdr:pic>
    <xdr:clientData/>
  </xdr:twoCellAnchor>
  <xdr:twoCellAnchor editAs="oneCell">
    <xdr:from>
      <xdr:col>9</xdr:col>
      <xdr:colOff>535247</xdr:colOff>
      <xdr:row>6</xdr:row>
      <xdr:rowOff>33251</xdr:rowOff>
    </xdr:from>
    <xdr:to>
      <xdr:col>16</xdr:col>
      <xdr:colOff>95134</xdr:colOff>
      <xdr:row>14</xdr:row>
      <xdr:rowOff>126770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05567" y="1191491"/>
          <a:ext cx="5828607" cy="1637839"/>
        </a:xfrm>
        <a:prstGeom prst="rect">
          <a:avLst/>
        </a:prstGeom>
      </xdr:spPr>
    </xdr:pic>
    <xdr:clientData/>
  </xdr:twoCellAnchor>
  <xdr:twoCellAnchor editAs="oneCell">
    <xdr:from>
      <xdr:col>16</xdr:col>
      <xdr:colOff>484834</xdr:colOff>
      <xdr:row>42</xdr:row>
      <xdr:rowOff>101600</xdr:rowOff>
    </xdr:from>
    <xdr:to>
      <xdr:col>25</xdr:col>
      <xdr:colOff>721360</xdr:colOff>
      <xdr:row>56</xdr:row>
      <xdr:rowOff>112841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53794" y="8229600"/>
          <a:ext cx="7643166" cy="27138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10160</xdr:rowOff>
    </xdr:from>
    <xdr:to>
      <xdr:col>16</xdr:col>
      <xdr:colOff>705458</xdr:colOff>
      <xdr:row>23</xdr:row>
      <xdr:rowOff>117598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8800" y="1940560"/>
          <a:ext cx="7370418" cy="26169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71120</xdr:rowOff>
    </xdr:from>
    <xdr:to>
      <xdr:col>7</xdr:col>
      <xdr:colOff>608728</xdr:colOff>
      <xdr:row>110</xdr:row>
      <xdr:rowOff>191090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563840"/>
          <a:ext cx="7964568" cy="32086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61534</xdr:rowOff>
    </xdr:from>
    <xdr:to>
      <xdr:col>7</xdr:col>
      <xdr:colOff>670560</xdr:colOff>
      <xdr:row>29</xdr:row>
      <xdr:rowOff>129539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571054"/>
          <a:ext cx="8026400" cy="31566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71120</xdr:rowOff>
    </xdr:from>
    <xdr:to>
      <xdr:col>9</xdr:col>
      <xdr:colOff>497840</xdr:colOff>
      <xdr:row>126</xdr:row>
      <xdr:rowOff>56837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3032720"/>
          <a:ext cx="9530080" cy="15300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111760</xdr:rowOff>
    </xdr:from>
    <xdr:to>
      <xdr:col>9</xdr:col>
      <xdr:colOff>557662</xdr:colOff>
      <xdr:row>140</xdr:row>
      <xdr:rowOff>91440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5196800"/>
          <a:ext cx="9589902" cy="21031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8464</xdr:rowOff>
    </xdr:from>
    <xdr:to>
      <xdr:col>2</xdr:col>
      <xdr:colOff>788305</xdr:colOff>
      <xdr:row>87</xdr:row>
      <xdr:rowOff>16933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34731"/>
          <a:ext cx="2691612" cy="885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apresse.ca/affaires/economie/transports/201804/23/01-5162176-rem-la-caisse-engagee-pour-cinq-ans.php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m.dk/" TargetMode="External"/><Relationship Id="rId4" Type="http://schemas.openxmlformats.org/officeDocument/2006/relationships/drawing" Target="../drawings/drawing9.xml"/><Relationship Id="rId1" Type="http://schemas.openxmlformats.org/officeDocument/2006/relationships/hyperlink" Target="https://fr.wikipedia.org/wiki/M%C3%A9tro_de_Copenhague" TargetMode="External"/><Relationship Id="rId2" Type="http://schemas.openxmlformats.org/officeDocument/2006/relationships/hyperlink" Target="https://m.dk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plenarygroup.com/assets/media/plenary-SydmetroNW-factsheet%20(2).pdf" TargetMode="External"/><Relationship Id="rId2" Type="http://schemas.openxmlformats.org/officeDocument/2006/relationships/hyperlink" Target="https://plenarygroup.com/assets/downloads/factsheets/plenary-NWRL-factsheet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apresse.ca/affaires/economie/transports/201804/23/01-5162176-rem-la-caisse-engagee-pour-cinq-ans.php" TargetMode="External"/><Relationship Id="rId2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dpqinfra.com/sites/default/files/pdf/summary_rem_forecasting_fr_vf.pdf" TargetMode="External"/><Relationship Id="rId4" Type="http://schemas.openxmlformats.org/officeDocument/2006/relationships/drawing" Target="../drawings/drawing7.xml"/><Relationship Id="rId1" Type="http://schemas.openxmlformats.org/officeDocument/2006/relationships/hyperlink" Target="https://rem.info/sites/default/files/document/2018-04-23-SommaireFR-EntenteFR.pdf" TargetMode="External"/><Relationship Id="rId2" Type="http://schemas.openxmlformats.org/officeDocument/2006/relationships/hyperlink" Target="https://rem.info/sites/default/files/document/2018-04-23-SommaireFR-Entente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16" workbookViewId="0">
      <selection activeCell="A33" sqref="A33"/>
    </sheetView>
  </sheetViews>
  <sheetFormatPr baseColWidth="10" defaultRowHeight="15" x14ac:dyDescent="0"/>
  <sheetData>
    <row r="1" spans="1:1">
      <c r="A1" s="10" t="s">
        <v>434</v>
      </c>
    </row>
    <row r="2" spans="1:1">
      <c r="A2" s="354" t="s">
        <v>432</v>
      </c>
    </row>
    <row r="3" spans="1:1">
      <c r="A3" s="354" t="s">
        <v>433</v>
      </c>
    </row>
    <row r="4" spans="1:1">
      <c r="A4" s="10"/>
    </row>
    <row r="5" spans="1:1">
      <c r="A5" s="10" t="s">
        <v>422</v>
      </c>
    </row>
    <row r="6" spans="1:1" ht="18">
      <c r="A6" s="145" t="s">
        <v>236</v>
      </c>
    </row>
    <row r="7" spans="1:1" ht="18">
      <c r="A7" s="145" t="s">
        <v>237</v>
      </c>
    </row>
    <row r="29" spans="13:13">
      <c r="M29" t="s">
        <v>431</v>
      </c>
    </row>
    <row r="33" spans="1:1" ht="18">
      <c r="A33" s="145" t="s">
        <v>430</v>
      </c>
    </row>
    <row r="34" spans="1:1" ht="18">
      <c r="A34" s="145" t="s">
        <v>242</v>
      </c>
    </row>
    <row r="35" spans="1:1" ht="18">
      <c r="A35" s="145" t="s">
        <v>240</v>
      </c>
    </row>
    <row r="36" spans="1:1" ht="18">
      <c r="A36" s="145" t="s">
        <v>243</v>
      </c>
    </row>
    <row r="37" spans="1:1" ht="18">
      <c r="A37" s="146" t="s">
        <v>239</v>
      </c>
    </row>
    <row r="38" spans="1:1" ht="18">
      <c r="A38" s="147" t="s">
        <v>238</v>
      </c>
    </row>
    <row r="39" spans="1:1" ht="18">
      <c r="A39" s="148" t="s">
        <v>476</v>
      </c>
    </row>
    <row r="40" spans="1:1" ht="18">
      <c r="A40" s="148" t="s">
        <v>477</v>
      </c>
    </row>
    <row r="42" spans="1:1">
      <c r="A42" s="10" t="s">
        <v>244</v>
      </c>
    </row>
    <row r="43" spans="1:1">
      <c r="A43" t="s">
        <v>470</v>
      </c>
    </row>
    <row r="45" spans="1:1">
      <c r="A45" t="s">
        <v>475</v>
      </c>
    </row>
  </sheetData>
  <hyperlinks>
    <hyperlink ref="A38" r:id="rId1"/>
  </hyperlinks>
  <pageMargins left="0.75" right="0.75" top="1" bottom="1" header="0.5" footer="0.5"/>
  <pageSetup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opLeftCell="A111" zoomScale="125" zoomScaleNormal="125" zoomScalePageLayoutView="125" workbookViewId="0">
      <selection activeCell="G116" sqref="G116"/>
    </sheetView>
  </sheetViews>
  <sheetFormatPr baseColWidth="10" defaultRowHeight="15" x14ac:dyDescent="0"/>
  <cols>
    <col min="1" max="1" width="14" customWidth="1"/>
    <col min="2" max="2" width="19.1640625" customWidth="1"/>
    <col min="3" max="3" width="15.1640625" customWidth="1"/>
    <col min="4" max="4" width="12.6640625" customWidth="1"/>
    <col min="5" max="5" width="12.1640625" customWidth="1"/>
    <col min="7" max="7" width="12.5" customWidth="1"/>
    <col min="8" max="8" width="11.1640625" bestFit="1" customWidth="1"/>
    <col min="11" max="11" width="11.83203125" bestFit="1" customWidth="1"/>
  </cols>
  <sheetData>
    <row r="1" spans="1:11">
      <c r="A1" t="s">
        <v>194</v>
      </c>
    </row>
    <row r="2" spans="1:11">
      <c r="A2" t="s">
        <v>63</v>
      </c>
    </row>
    <row r="3" spans="1:11">
      <c r="A3" t="s">
        <v>179</v>
      </c>
    </row>
    <row r="5" spans="1:11">
      <c r="A5" t="s">
        <v>130</v>
      </c>
    </row>
    <row r="6" spans="1:11">
      <c r="A6" t="s">
        <v>131</v>
      </c>
    </row>
    <row r="7" spans="1:11">
      <c r="A7" t="s">
        <v>534</v>
      </c>
    </row>
    <row r="8" spans="1:11">
      <c r="A8" t="s">
        <v>554</v>
      </c>
      <c r="K8" s="128">
        <f>650/15</f>
        <v>43.333333333333336</v>
      </c>
    </row>
    <row r="9" spans="1:11">
      <c r="K9" s="129"/>
    </row>
    <row r="10" spans="1:11">
      <c r="A10" t="s">
        <v>684</v>
      </c>
      <c r="I10" t="s">
        <v>555</v>
      </c>
      <c r="K10" s="129"/>
    </row>
    <row r="11" spans="1:11">
      <c r="K11" s="129"/>
    </row>
    <row r="12" spans="1:11">
      <c r="K12" s="129"/>
    </row>
    <row r="13" spans="1:11">
      <c r="K13" s="129"/>
    </row>
    <row r="14" spans="1:11">
      <c r="K14" s="129"/>
    </row>
    <row r="15" spans="1:11">
      <c r="K15" s="129"/>
    </row>
    <row r="16" spans="1:11">
      <c r="K16" s="129"/>
    </row>
    <row r="17" spans="1:14">
      <c r="K17" s="129"/>
    </row>
    <row r="18" spans="1:14">
      <c r="K18" s="129"/>
    </row>
    <row r="19" spans="1:14">
      <c r="K19" s="129"/>
    </row>
    <row r="20" spans="1:14">
      <c r="K20" s="129"/>
    </row>
    <row r="21" spans="1:14">
      <c r="K21" s="129"/>
    </row>
    <row r="22" spans="1:14">
      <c r="K22" s="129"/>
    </row>
    <row r="23" spans="1:14">
      <c r="K23" s="129"/>
    </row>
    <row r="24" spans="1:14">
      <c r="K24" s="129"/>
    </row>
    <row r="25" spans="1:14">
      <c r="K25" s="129"/>
    </row>
    <row r="26" spans="1:14">
      <c r="K26" s="52" t="s">
        <v>124</v>
      </c>
      <c r="L26">
        <v>2021</v>
      </c>
      <c r="M26">
        <v>2026</v>
      </c>
      <c r="N26">
        <v>2031</v>
      </c>
    </row>
    <row r="27" spans="1:14">
      <c r="K27" s="52" t="s">
        <v>504</v>
      </c>
      <c r="L27" s="380">
        <v>119467</v>
      </c>
      <c r="M27" s="380">
        <v>167637</v>
      </c>
      <c r="N27" s="380">
        <v>173931</v>
      </c>
    </row>
    <row r="28" spans="1:14">
      <c r="K28" s="52" t="s">
        <v>505</v>
      </c>
      <c r="L28" s="380">
        <v>30961199</v>
      </c>
      <c r="M28" s="380">
        <v>43535017</v>
      </c>
      <c r="N28" s="380">
        <v>45172174</v>
      </c>
    </row>
    <row r="29" spans="1:14">
      <c r="K29" s="52" t="s">
        <v>506</v>
      </c>
      <c r="L29" s="380">
        <v>452753922</v>
      </c>
      <c r="M29" s="380">
        <v>630655913</v>
      </c>
      <c r="N29" s="380">
        <v>653748003</v>
      </c>
    </row>
    <row r="30" spans="1:14" ht="16" thickBot="1">
      <c r="K30" s="52" t="s">
        <v>503</v>
      </c>
      <c r="L30" s="473">
        <f>L29/L28</f>
        <v>14.623268368902638</v>
      </c>
      <c r="M30" s="473">
        <f>M29/M28</f>
        <v>14.486175875387852</v>
      </c>
      <c r="N30" s="473">
        <f>N29/N28</f>
        <v>14.472360860914065</v>
      </c>
    </row>
    <row r="31" spans="1:14">
      <c r="A31" t="s">
        <v>536</v>
      </c>
      <c r="K31" s="129"/>
      <c r="L31" s="474" t="s">
        <v>584</v>
      </c>
    </row>
    <row r="32" spans="1:14">
      <c r="A32" t="s">
        <v>537</v>
      </c>
      <c r="K32" s="129"/>
      <c r="L32" s="301" t="s">
        <v>585</v>
      </c>
    </row>
    <row r="33" spans="1:12">
      <c r="K33" s="129"/>
      <c r="L33" s="301" t="s">
        <v>586</v>
      </c>
    </row>
    <row r="34" spans="1:12">
      <c r="A34" t="s">
        <v>538</v>
      </c>
      <c r="K34" s="129"/>
      <c r="L34" s="301" t="s">
        <v>587</v>
      </c>
    </row>
    <row r="35" spans="1:12" ht="16" thickBot="1">
      <c r="B35" s="8" t="s">
        <v>592</v>
      </c>
      <c r="C35" s="8" t="s">
        <v>539</v>
      </c>
      <c r="D35" t="s">
        <v>541</v>
      </c>
      <c r="K35" s="129"/>
      <c r="L35" s="301" t="s">
        <v>588</v>
      </c>
    </row>
    <row r="36" spans="1:12" ht="16" thickBot="1">
      <c r="A36" t="s">
        <v>232</v>
      </c>
      <c r="B36" s="394">
        <v>138700</v>
      </c>
      <c r="C36" s="394">
        <v>43530000</v>
      </c>
      <c r="D36" s="402">
        <f>C36/B36</f>
        <v>313.84282624369143</v>
      </c>
      <c r="L36" s="301" t="s">
        <v>589</v>
      </c>
    </row>
    <row r="37" spans="1:12" ht="16" thickBot="1">
      <c r="A37" s="39"/>
      <c r="B37" s="8"/>
      <c r="C37" s="8"/>
      <c r="L37" s="475" t="s">
        <v>590</v>
      </c>
    </row>
    <row r="38" spans="1:12">
      <c r="A38" s="62" t="s">
        <v>556</v>
      </c>
      <c r="B38" s="8"/>
      <c r="C38" s="8"/>
      <c r="H38" t="s">
        <v>582</v>
      </c>
    </row>
    <row r="39" spans="1:12" ht="16" thickBot="1">
      <c r="B39" s="8" t="s">
        <v>592</v>
      </c>
      <c r="C39" s="8" t="s">
        <v>539</v>
      </c>
      <c r="D39" t="s">
        <v>594</v>
      </c>
      <c r="H39" t="s">
        <v>583</v>
      </c>
    </row>
    <row r="40" spans="1:12" ht="16" thickBot="1">
      <c r="A40" t="s">
        <v>232</v>
      </c>
      <c r="B40" s="394">
        <v>173931</v>
      </c>
      <c r="C40" s="394">
        <v>45172601</v>
      </c>
      <c r="D40" s="403">
        <f>C40/B40</f>
        <v>259.71564011015863</v>
      </c>
      <c r="H40" s="476">
        <f>C40*N30</f>
        <v>653754182.69808757</v>
      </c>
    </row>
    <row r="41" spans="1:12">
      <c r="B41" s="27"/>
      <c r="C41" s="27"/>
      <c r="D41" s="27"/>
    </row>
    <row r="42" spans="1:12">
      <c r="A42" t="s">
        <v>557</v>
      </c>
      <c r="B42" s="27"/>
      <c r="C42" s="27"/>
      <c r="D42" s="27"/>
      <c r="H42" s="10" t="s">
        <v>600</v>
      </c>
    </row>
    <row r="43" spans="1:12">
      <c r="A43" s="14" t="s">
        <v>558</v>
      </c>
      <c r="B43" s="27"/>
      <c r="C43" s="27"/>
      <c r="D43" s="27"/>
      <c r="H43" s="369">
        <f>Introduction!C89</f>
        <v>632.6</v>
      </c>
    </row>
    <row r="44" spans="1:12">
      <c r="A44" s="412" t="s">
        <v>559</v>
      </c>
      <c r="B44" s="27"/>
      <c r="C44" s="27"/>
      <c r="D44" s="27"/>
      <c r="H44" s="404">
        <f>H43*1000000</f>
        <v>632600000</v>
      </c>
    </row>
    <row r="45" spans="1:12">
      <c r="A45" s="412" t="s">
        <v>593</v>
      </c>
      <c r="B45" s="27"/>
      <c r="C45" s="27"/>
      <c r="D45" s="27"/>
    </row>
    <row r="46" spans="1:12">
      <c r="A46" s="412" t="s">
        <v>560</v>
      </c>
      <c r="B46" s="27"/>
      <c r="C46" s="27"/>
      <c r="D46" s="27"/>
    </row>
    <row r="47" spans="1:12">
      <c r="B47" s="27"/>
      <c r="C47" s="27"/>
      <c r="D47" s="27"/>
    </row>
    <row r="48" spans="1:12">
      <c r="A48" t="s">
        <v>542</v>
      </c>
      <c r="B48" s="27"/>
      <c r="C48" s="27"/>
      <c r="D48" s="27"/>
    </row>
    <row r="49" spans="1:11">
      <c r="A49" s="62" t="s">
        <v>543</v>
      </c>
    </row>
    <row r="50" spans="1:11" ht="16" thickBot="1">
      <c r="B50" t="s">
        <v>540</v>
      </c>
      <c r="C50" t="s">
        <v>539</v>
      </c>
      <c r="D50" t="s">
        <v>541</v>
      </c>
    </row>
    <row r="51" spans="1:11" ht="16" thickBot="1">
      <c r="A51" t="s">
        <v>232</v>
      </c>
      <c r="B51" s="27">
        <v>173931</v>
      </c>
      <c r="C51" s="404">
        <f>B51*D51</f>
        <v>54586996.611391492</v>
      </c>
      <c r="D51" s="402">
        <f>D36</f>
        <v>313.84282624369143</v>
      </c>
    </row>
    <row r="52" spans="1:11">
      <c r="B52" s="27"/>
      <c r="C52" s="27" t="s">
        <v>548</v>
      </c>
      <c r="D52" s="27"/>
      <c r="E52" s="27"/>
    </row>
    <row r="53" spans="1:11">
      <c r="A53" t="s">
        <v>549</v>
      </c>
      <c r="B53" s="27"/>
      <c r="C53" s="27"/>
      <c r="D53" s="27"/>
      <c r="E53" s="27"/>
    </row>
    <row r="54" spans="1:11">
      <c r="B54" s="27"/>
      <c r="C54" s="404">
        <f>C51*15</f>
        <v>818804949.17087233</v>
      </c>
      <c r="D54" s="27"/>
      <c r="E54" s="27" t="s">
        <v>599</v>
      </c>
      <c r="J54" s="477">
        <f>C54/H44-100%</f>
        <v>0.29434863922047483</v>
      </c>
      <c r="K54" t="s">
        <v>598</v>
      </c>
    </row>
    <row r="55" spans="1:11">
      <c r="B55" s="27"/>
      <c r="C55" s="27"/>
      <c r="D55" s="27"/>
      <c r="E55" s="27"/>
    </row>
    <row r="56" spans="1:11">
      <c r="A56" s="14" t="s">
        <v>20</v>
      </c>
      <c r="B56" s="16"/>
      <c r="C56" s="16"/>
      <c r="D56" s="19"/>
    </row>
    <row r="57" spans="1:11">
      <c r="A57" s="10"/>
      <c r="B57" s="16" t="s">
        <v>84</v>
      </c>
      <c r="C57" s="16"/>
      <c r="D57" s="19"/>
    </row>
    <row r="58" spans="1:11">
      <c r="A58" s="10" t="s">
        <v>185</v>
      </c>
      <c r="B58" s="135">
        <v>649.9</v>
      </c>
      <c r="C58" s="8" t="s">
        <v>61</v>
      </c>
      <c r="D58" s="33" t="s">
        <v>33</v>
      </c>
      <c r="E58" s="8" t="s">
        <v>187</v>
      </c>
    </row>
    <row r="59" spans="1:11" ht="16" thickBot="1">
      <c r="A59" s="35" t="s">
        <v>186</v>
      </c>
      <c r="B59" s="138">
        <f>C54/1000000</f>
        <v>818.80494917087231</v>
      </c>
      <c r="C59" s="36" t="s">
        <v>62</v>
      </c>
      <c r="D59" s="36" t="s">
        <v>29</v>
      </c>
      <c r="E59" s="36" t="s">
        <v>188</v>
      </c>
    </row>
    <row r="60" spans="1:11">
      <c r="A60" t="s">
        <v>166</v>
      </c>
      <c r="B60" s="27">
        <f>IF(B59&gt;B58,B58,B59)</f>
        <v>649.9</v>
      </c>
      <c r="C60" s="124">
        <v>0.72</v>
      </c>
      <c r="D60" s="11">
        <f>B60*C60</f>
        <v>467.92799999999994</v>
      </c>
      <c r="F60" t="s">
        <v>230</v>
      </c>
    </row>
    <row r="61" spans="1:11">
      <c r="A61" s="29" t="s">
        <v>32</v>
      </c>
      <c r="B61" s="27">
        <f>IF(B59&gt;B58*1.15,B58*0.15,B59-B60)</f>
        <v>97.484999999999999</v>
      </c>
      <c r="C61" s="124">
        <f>C60</f>
        <v>0.72</v>
      </c>
      <c r="D61" s="11">
        <f>B61*C61</f>
        <v>70.1892</v>
      </c>
    </row>
    <row r="62" spans="1:11">
      <c r="A62" t="s">
        <v>24</v>
      </c>
      <c r="B62" s="27">
        <f>IF(B59&gt;B58*1.4,B58*0.25,B59-(B60+B61))</f>
        <v>71.419949170872314</v>
      </c>
      <c r="C62" s="124">
        <f>C60*0.8</f>
        <v>0.57599999999999996</v>
      </c>
      <c r="D62" s="11">
        <f>B62*C62</f>
        <v>41.137890722422448</v>
      </c>
    </row>
    <row r="63" spans="1:11" ht="16" thickBot="1">
      <c r="A63" s="30" t="s">
        <v>227</v>
      </c>
      <c r="B63" s="18">
        <f>IF(B59&gt;B58*1.4,B59-B58*1.4,0)</f>
        <v>0</v>
      </c>
      <c r="C63" s="127">
        <v>0.21</v>
      </c>
      <c r="D63" s="34">
        <f>B63*C63</f>
        <v>0</v>
      </c>
      <c r="E63" s="30"/>
    </row>
    <row r="64" spans="1:11" ht="16" thickTop="1">
      <c r="B64" s="27">
        <f>SUM(B60:B63)</f>
        <v>818.80494917087231</v>
      </c>
      <c r="D64" s="11">
        <f>SUM(D60:D63)</f>
        <v>579.25509072242232</v>
      </c>
      <c r="E64" s="19">
        <f>D64-D60</f>
        <v>111.32709072242238</v>
      </c>
    </row>
    <row r="65" spans="1:11">
      <c r="K65" s="129"/>
    </row>
    <row r="66" spans="1:11" ht="16" thickBot="1">
      <c r="A66" s="35" t="s">
        <v>550</v>
      </c>
      <c r="B66" s="137" t="s">
        <v>84</v>
      </c>
      <c r="C66" s="35" t="s">
        <v>163</v>
      </c>
      <c r="D66" s="36" t="s">
        <v>29</v>
      </c>
      <c r="E66" s="144" t="s">
        <v>231</v>
      </c>
      <c r="F66" s="144"/>
      <c r="G66" s="144"/>
    </row>
    <row r="67" spans="1:11">
      <c r="A67" s="123"/>
      <c r="B67" s="136">
        <f>B59</f>
        <v>818.80494917087231</v>
      </c>
      <c r="C67" s="405">
        <f>D67/B67</f>
        <v>0.57147676070329956</v>
      </c>
      <c r="D67" s="11">
        <f>D60</f>
        <v>467.92799999999994</v>
      </c>
      <c r="E67" t="s">
        <v>551</v>
      </c>
    </row>
    <row r="69" spans="1:11">
      <c r="A69" s="14" t="s">
        <v>20</v>
      </c>
      <c r="B69" s="16"/>
      <c r="C69" s="16"/>
      <c r="D69" s="19"/>
    </row>
    <row r="70" spans="1:11">
      <c r="A70" s="14"/>
      <c r="B70" s="16" t="s">
        <v>84</v>
      </c>
      <c r="C70" s="16"/>
      <c r="D70" s="19"/>
    </row>
    <row r="71" spans="1:11">
      <c r="A71" s="10" t="s">
        <v>190</v>
      </c>
      <c r="B71" s="109">
        <f>B67</f>
        <v>818.80494917087231</v>
      </c>
      <c r="C71" s="8" t="s">
        <v>61</v>
      </c>
      <c r="D71" s="33" t="s">
        <v>33</v>
      </c>
    </row>
    <row r="72" spans="1:11" ht="16" thickBot="1">
      <c r="A72" s="35" t="s">
        <v>172</v>
      </c>
      <c r="B72" s="138">
        <f>B67</f>
        <v>818.80494917087231</v>
      </c>
      <c r="C72" s="36" t="s">
        <v>62</v>
      </c>
      <c r="D72" s="36" t="s">
        <v>29</v>
      </c>
    </row>
    <row r="73" spans="1:11">
      <c r="A73" t="s">
        <v>166</v>
      </c>
      <c r="B73" s="27">
        <f>IF(B72&gt;B71,B71,B72)</f>
        <v>818.80494917087231</v>
      </c>
      <c r="C73" s="124">
        <f>C67</f>
        <v>0.57147676070329956</v>
      </c>
      <c r="D73" s="11">
        <f>B73*C73</f>
        <v>467.92799999999994</v>
      </c>
    </row>
    <row r="74" spans="1:11">
      <c r="A74" s="29" t="s">
        <v>32</v>
      </c>
      <c r="B74" s="27">
        <f>IF(B72&gt;B71*1.15,B71*0.15,B72-B73)</f>
        <v>0</v>
      </c>
      <c r="C74" s="124">
        <f>C73</f>
        <v>0.57147676070329956</v>
      </c>
      <c r="D74" s="11">
        <f>B74*C74</f>
        <v>0</v>
      </c>
    </row>
    <row r="75" spans="1:11">
      <c r="A75" t="s">
        <v>24</v>
      </c>
      <c r="B75" s="27">
        <f>IF(B72&gt;B71*1.4,B71*0.25,B72-(B73+B74))</f>
        <v>0</v>
      </c>
      <c r="C75" s="124">
        <f>C73*0.8</f>
        <v>0.45718140856263967</v>
      </c>
      <c r="D75" s="11">
        <f>B75*C75</f>
        <v>0</v>
      </c>
    </row>
    <row r="76" spans="1:11" ht="16" thickBot="1">
      <c r="A76" s="30" t="s">
        <v>30</v>
      </c>
      <c r="B76" s="18">
        <f>IF(B72&gt;B71*1.4,B72-B71*1.4,0)</f>
        <v>0</v>
      </c>
      <c r="C76" s="127">
        <v>0.21</v>
      </c>
      <c r="D76" s="34">
        <f>B76*C76</f>
        <v>0</v>
      </c>
    </row>
    <row r="77" spans="1:11" ht="16" thickTop="1">
      <c r="B77" s="27">
        <f>SUM(B73:B76)</f>
        <v>818.80494917087231</v>
      </c>
      <c r="D77" s="11">
        <f>SUM(D73:D76)</f>
        <v>467.92799999999994</v>
      </c>
      <c r="E77" s="19" t="s">
        <v>195</v>
      </c>
    </row>
    <row r="79" spans="1:11">
      <c r="A79" t="s">
        <v>228</v>
      </c>
      <c r="K79" s="129"/>
    </row>
    <row r="80" spans="1:11">
      <c r="A80" t="s">
        <v>229</v>
      </c>
      <c r="E80" s="134">
        <f>63.5*2*15</f>
        <v>1905</v>
      </c>
      <c r="F80" t="s">
        <v>226</v>
      </c>
      <c r="K80" s="129"/>
    </row>
    <row r="81" spans="1:11">
      <c r="K81" s="129"/>
    </row>
    <row r="82" spans="1:11">
      <c r="K82" s="129"/>
    </row>
    <row r="83" spans="1:11">
      <c r="A83" s="14" t="s">
        <v>20</v>
      </c>
      <c r="B83" s="16"/>
      <c r="C83" s="16"/>
      <c r="D83" s="19"/>
    </row>
    <row r="84" spans="1:11">
      <c r="A84" s="14"/>
      <c r="B84" s="16" t="s">
        <v>84</v>
      </c>
      <c r="C84" s="16"/>
      <c r="D84" s="19"/>
    </row>
    <row r="85" spans="1:11">
      <c r="A85" s="10" t="s">
        <v>18</v>
      </c>
      <c r="B85" s="109">
        <f>B71</f>
        <v>818.80494917087231</v>
      </c>
      <c r="C85" s="8" t="s">
        <v>61</v>
      </c>
      <c r="D85" s="33" t="s">
        <v>33</v>
      </c>
    </row>
    <row r="86" spans="1:11" ht="16" thickBot="1">
      <c r="A86" s="35" t="s">
        <v>172</v>
      </c>
      <c r="B86" s="138">
        <f>E80</f>
        <v>1905</v>
      </c>
      <c r="C86" s="36" t="s">
        <v>62</v>
      </c>
      <c r="D86" s="36" t="s">
        <v>29</v>
      </c>
    </row>
    <row r="87" spans="1:11">
      <c r="A87" t="s">
        <v>166</v>
      </c>
      <c r="B87" s="27">
        <f>IF(B86&gt;B85,B85,B86)</f>
        <v>818.80494917087231</v>
      </c>
      <c r="C87" s="124">
        <f>C73</f>
        <v>0.57147676070329956</v>
      </c>
      <c r="D87" s="11">
        <f>B87*C87</f>
        <v>467.92799999999994</v>
      </c>
    </row>
    <row r="88" spans="1:11">
      <c r="A88" s="29" t="s">
        <v>32</v>
      </c>
      <c r="B88" s="27">
        <f>IF(B86&gt;B85*1.15,B85*0.15,B86-B87)</f>
        <v>122.82074237563084</v>
      </c>
      <c r="C88" s="124">
        <f>C87</f>
        <v>0.57147676070329956</v>
      </c>
      <c r="D88" s="11">
        <f>B88*C88</f>
        <v>70.189199999999985</v>
      </c>
    </row>
    <row r="89" spans="1:11">
      <c r="A89" t="s">
        <v>24</v>
      </c>
      <c r="B89" s="27">
        <f>IF(B86&gt;B85*1.4,B85*0.25,B86-(B87+B88))</f>
        <v>204.70123729271808</v>
      </c>
      <c r="C89" s="124">
        <f>C87*0.8</f>
        <v>0.45718140856263967</v>
      </c>
      <c r="D89" s="11">
        <f>B89*C89</f>
        <v>93.585599999999999</v>
      </c>
    </row>
    <row r="90" spans="1:11" ht="16" thickBot="1">
      <c r="A90" s="30" t="s">
        <v>30</v>
      </c>
      <c r="B90" s="18">
        <f>IF(B86&gt;B85*1.4,B86-B85*1.4,0)</f>
        <v>758.67307116077882</v>
      </c>
      <c r="C90" s="127">
        <v>0.21</v>
      </c>
      <c r="D90" s="34">
        <f>B90*C90</f>
        <v>159.32134494376353</v>
      </c>
      <c r="E90" s="30"/>
    </row>
    <row r="91" spans="1:11" ht="16" thickTop="1">
      <c r="B91" s="27">
        <f>SUM(B87:B90)</f>
        <v>1905</v>
      </c>
      <c r="D91" s="11">
        <f>SUM(D87:D90)</f>
        <v>791.02414494376342</v>
      </c>
      <c r="E91" s="19" t="s">
        <v>195</v>
      </c>
    </row>
    <row r="93" spans="1:11">
      <c r="A93" t="s">
        <v>595</v>
      </c>
    </row>
    <row r="94" spans="1:11">
      <c r="A94" t="s">
        <v>596</v>
      </c>
    </row>
    <row r="113" spans="1:7">
      <c r="A113" t="s">
        <v>597</v>
      </c>
    </row>
    <row r="114" spans="1:7">
      <c r="G114" t="s">
        <v>733</v>
      </c>
    </row>
    <row r="115" spans="1:7">
      <c r="A115" t="s">
        <v>732</v>
      </c>
      <c r="D115" s="10">
        <f>D117-D129</f>
        <v>579</v>
      </c>
      <c r="E115" s="10" t="s">
        <v>729</v>
      </c>
      <c r="G115" s="10">
        <f>D115*6</f>
        <v>3474</v>
      </c>
    </row>
    <row r="117" spans="1:7">
      <c r="A117" s="10" t="s">
        <v>731</v>
      </c>
      <c r="D117" s="10">
        <v>743</v>
      </c>
      <c r="E117" s="10" t="s">
        <v>729</v>
      </c>
    </row>
    <row r="129" spans="1:5">
      <c r="A129" s="10" t="s">
        <v>730</v>
      </c>
      <c r="D129" s="10">
        <v>164</v>
      </c>
      <c r="E129" s="10" t="s">
        <v>729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opLeftCell="A21" zoomScale="125" zoomScaleNormal="125" zoomScalePageLayoutView="125" workbookViewId="0">
      <selection activeCell="B34" sqref="B34"/>
    </sheetView>
  </sheetViews>
  <sheetFormatPr baseColWidth="10" defaultRowHeight="15" x14ac:dyDescent="0"/>
  <cols>
    <col min="1" max="1" width="14" customWidth="1"/>
    <col min="3" max="3" width="15.1640625" customWidth="1"/>
    <col min="4" max="4" width="12.6640625" customWidth="1"/>
    <col min="5" max="5" width="12.1640625" customWidth="1"/>
    <col min="7" max="7" width="12.5" customWidth="1"/>
    <col min="11" max="11" width="11.83203125" bestFit="1" customWidth="1"/>
  </cols>
  <sheetData>
    <row r="1" spans="1:11">
      <c r="A1" t="s">
        <v>194</v>
      </c>
    </row>
    <row r="2" spans="1:11">
      <c r="A2" t="s">
        <v>63</v>
      </c>
    </row>
    <row r="3" spans="1:11">
      <c r="A3" t="s">
        <v>179</v>
      </c>
    </row>
    <row r="5" spans="1:11">
      <c r="A5" t="s">
        <v>130</v>
      </c>
    </row>
    <row r="6" spans="1:11">
      <c r="A6" t="s">
        <v>131</v>
      </c>
    </row>
    <row r="7" spans="1:11">
      <c r="A7" t="s">
        <v>534</v>
      </c>
    </row>
    <row r="8" spans="1:11">
      <c r="A8" t="s">
        <v>180</v>
      </c>
      <c r="K8" s="128">
        <f>650/15</f>
        <v>43.333333333333336</v>
      </c>
    </row>
    <row r="9" spans="1:11">
      <c r="K9" s="129"/>
    </row>
    <row r="10" spans="1:11">
      <c r="A10" t="s">
        <v>224</v>
      </c>
      <c r="K10" s="129"/>
    </row>
    <row r="11" spans="1:11">
      <c r="A11" t="s">
        <v>535</v>
      </c>
      <c r="K11" s="129"/>
    </row>
    <row r="12" spans="1:11">
      <c r="A12" s="39" t="s">
        <v>133</v>
      </c>
    </row>
    <row r="13" spans="1:11">
      <c r="A13" t="s">
        <v>222</v>
      </c>
      <c r="K13" s="129"/>
    </row>
    <row r="14" spans="1:11">
      <c r="A14" t="s">
        <v>225</v>
      </c>
      <c r="K14" s="129"/>
    </row>
    <row r="15" spans="1:11">
      <c r="A15" t="s">
        <v>229</v>
      </c>
      <c r="E15" s="134">
        <f>63.5*15</f>
        <v>952.5</v>
      </c>
      <c r="F15" t="s">
        <v>226</v>
      </c>
      <c r="K15" s="129"/>
    </row>
    <row r="16" spans="1:11">
      <c r="A16" t="s">
        <v>165</v>
      </c>
      <c r="D16" s="12"/>
    </row>
    <row r="17" spans="1:11">
      <c r="D17" s="12"/>
    </row>
    <row r="18" spans="1:11">
      <c r="A18" s="14" t="s">
        <v>20</v>
      </c>
      <c r="B18" s="16"/>
      <c r="C18" s="16"/>
      <c r="D18" s="19"/>
    </row>
    <row r="19" spans="1:11">
      <c r="A19" s="10"/>
      <c r="B19" s="16" t="s">
        <v>84</v>
      </c>
      <c r="C19" s="16"/>
      <c r="D19" s="19"/>
    </row>
    <row r="20" spans="1:11">
      <c r="A20" s="10" t="s">
        <v>185</v>
      </c>
      <c r="B20" s="135">
        <v>649.9</v>
      </c>
      <c r="C20" s="8" t="s">
        <v>61</v>
      </c>
      <c r="D20" s="33" t="s">
        <v>33</v>
      </c>
      <c r="E20" s="8" t="s">
        <v>187</v>
      </c>
    </row>
    <row r="21" spans="1:11" ht="16" thickBot="1">
      <c r="A21" s="35" t="s">
        <v>186</v>
      </c>
      <c r="B21" s="138">
        <f>63.5*15</f>
        <v>952.5</v>
      </c>
      <c r="C21" s="36" t="s">
        <v>62</v>
      </c>
      <c r="D21" s="36" t="s">
        <v>29</v>
      </c>
      <c r="E21" s="36" t="s">
        <v>188</v>
      </c>
    </row>
    <row r="22" spans="1:11">
      <c r="A22" t="s">
        <v>166</v>
      </c>
      <c r="B22" s="27">
        <f>IF(B21&gt;B20,B20,B21)</f>
        <v>649.9</v>
      </c>
      <c r="C22" s="124">
        <v>0.72</v>
      </c>
      <c r="D22" s="11">
        <f>B22*C22</f>
        <v>467.92799999999994</v>
      </c>
      <c r="F22" t="s">
        <v>230</v>
      </c>
    </row>
    <row r="23" spans="1:11">
      <c r="A23" s="29" t="s">
        <v>32</v>
      </c>
      <c r="B23" s="27">
        <f>IF(B21&gt;B20*1.15,B20*0.15,B21-B22)</f>
        <v>97.484999999999999</v>
      </c>
      <c r="C23" s="124">
        <f>C22</f>
        <v>0.72</v>
      </c>
      <c r="D23" s="11">
        <f>B23*C23</f>
        <v>70.1892</v>
      </c>
    </row>
    <row r="24" spans="1:11">
      <c r="A24" t="s">
        <v>24</v>
      </c>
      <c r="B24" s="27">
        <f>IF(B21&gt;B20*1.4,B20*0.25,B21-(B22+B23))</f>
        <v>162.47499999999999</v>
      </c>
      <c r="C24" s="124">
        <f>C22*0.8</f>
        <v>0.57599999999999996</v>
      </c>
      <c r="D24" s="11">
        <f>B24*C24</f>
        <v>93.585599999999985</v>
      </c>
    </row>
    <row r="25" spans="1:11" ht="16" thickBot="1">
      <c r="A25" s="30" t="s">
        <v>227</v>
      </c>
      <c r="B25" s="18">
        <f>IF(B21&gt;B20*1.4,B21-B20*1.4,0)</f>
        <v>42.6400000000001</v>
      </c>
      <c r="C25" s="127">
        <v>0.21</v>
      </c>
      <c r="D25" s="34">
        <f>B25*C25</f>
        <v>8.954400000000021</v>
      </c>
      <c r="E25" s="30"/>
    </row>
    <row r="26" spans="1:11" ht="16" thickTop="1">
      <c r="B26" s="27">
        <f>SUM(B22:B25)</f>
        <v>952.50000000000011</v>
      </c>
      <c r="D26" s="11">
        <f>SUM(D22:D25)</f>
        <v>640.65719999999988</v>
      </c>
      <c r="E26" s="501">
        <f>D26-D22</f>
        <v>172.72919999999993</v>
      </c>
    </row>
    <row r="27" spans="1:11">
      <c r="K27" s="129"/>
    </row>
    <row r="28" spans="1:11" ht="31" thickBot="1">
      <c r="A28" s="35" t="s">
        <v>129</v>
      </c>
      <c r="B28" s="406" t="s">
        <v>84</v>
      </c>
      <c r="C28" s="35" t="s">
        <v>163</v>
      </c>
      <c r="D28" s="36" t="s">
        <v>29</v>
      </c>
      <c r="E28" s="144" t="s">
        <v>231</v>
      </c>
      <c r="F28" s="144"/>
      <c r="G28" s="144"/>
    </row>
    <row r="29" spans="1:11">
      <c r="A29" s="123" t="s">
        <v>189</v>
      </c>
      <c r="B29" s="136">
        <f>63.5*15</f>
        <v>952.5</v>
      </c>
      <c r="C29" s="121">
        <f>D29/B29</f>
        <v>0.49126299212598418</v>
      </c>
      <c r="D29" s="11">
        <f>D22</f>
        <v>467.92799999999994</v>
      </c>
      <c r="E29" t="s">
        <v>168</v>
      </c>
    </row>
    <row r="31" spans="1:11">
      <c r="A31" s="14" t="s">
        <v>20</v>
      </c>
      <c r="B31" s="16"/>
      <c r="C31" s="16"/>
      <c r="D31" s="19"/>
    </row>
    <row r="32" spans="1:11" ht="31" thickBot="1">
      <c r="A32" s="14"/>
      <c r="B32" s="406" t="s">
        <v>84</v>
      </c>
      <c r="C32" s="16"/>
      <c r="D32" s="19"/>
    </row>
    <row r="33" spans="1:11">
      <c r="A33" s="10" t="s">
        <v>190</v>
      </c>
      <c r="B33" s="109">
        <f>B29</f>
        <v>952.5</v>
      </c>
      <c r="C33" s="8" t="s">
        <v>61</v>
      </c>
      <c r="D33" s="33" t="s">
        <v>33</v>
      </c>
    </row>
    <row r="34" spans="1:11" ht="16" thickBot="1">
      <c r="A34" s="35" t="s">
        <v>172</v>
      </c>
      <c r="B34" s="138">
        <f>63.5*15</f>
        <v>952.5</v>
      </c>
      <c r="C34" s="36" t="s">
        <v>62</v>
      </c>
      <c r="D34" s="36" t="s">
        <v>29</v>
      </c>
    </row>
    <row r="35" spans="1:11">
      <c r="A35" t="s">
        <v>166</v>
      </c>
      <c r="B35" s="27">
        <f>IF(B34&gt;B33,B33,B34)</f>
        <v>952.5</v>
      </c>
      <c r="C35" s="124">
        <f>C29</f>
        <v>0.49126299212598418</v>
      </c>
      <c r="D35" s="11">
        <f>B35*C35</f>
        <v>467.92799999999994</v>
      </c>
    </row>
    <row r="36" spans="1:11">
      <c r="A36" s="29" t="s">
        <v>32</v>
      </c>
      <c r="B36" s="27">
        <f>IF(B34&gt;B33*1.15,B33*0.15,B34-B35)</f>
        <v>0</v>
      </c>
      <c r="C36" s="124">
        <f>C35</f>
        <v>0.49126299212598418</v>
      </c>
      <c r="D36" s="11">
        <f>B36*C36</f>
        <v>0</v>
      </c>
    </row>
    <row r="37" spans="1:11">
      <c r="A37" t="s">
        <v>24</v>
      </c>
      <c r="B37" s="27">
        <f>IF(B34&gt;B33*1.4,B33*0.25,B34-(B35+B36))</f>
        <v>0</v>
      </c>
      <c r="C37" s="124">
        <f>C35*0.8</f>
        <v>0.39301039370078739</v>
      </c>
      <c r="D37" s="11">
        <f>B37*C37</f>
        <v>0</v>
      </c>
    </row>
    <row r="38" spans="1:11" ht="16" thickBot="1">
      <c r="A38" s="30" t="s">
        <v>30</v>
      </c>
      <c r="B38" s="18">
        <f>IF(B34&gt;B33*1.4,B34-B33*1.4,0)</f>
        <v>0</v>
      </c>
      <c r="C38" s="127">
        <v>0.21</v>
      </c>
      <c r="D38" s="34">
        <f>B38*C38</f>
        <v>0</v>
      </c>
    </row>
    <row r="39" spans="1:11" ht="16" thickTop="1">
      <c r="B39" s="27">
        <f>SUM(B35:B38)</f>
        <v>952.5</v>
      </c>
      <c r="D39" s="11">
        <f>SUM(D35:D38)</f>
        <v>467.92799999999994</v>
      </c>
      <c r="E39" s="19" t="s">
        <v>195</v>
      </c>
    </row>
    <row r="41" spans="1:11">
      <c r="A41" t="s">
        <v>228</v>
      </c>
      <c r="K41" s="129"/>
    </row>
    <row r="42" spans="1:11">
      <c r="A42" t="s">
        <v>229</v>
      </c>
      <c r="E42" s="134">
        <f>63.5*2*15</f>
        <v>1905</v>
      </c>
      <c r="F42" t="s">
        <v>226</v>
      </c>
      <c r="K42" s="129"/>
    </row>
    <row r="43" spans="1:11">
      <c r="K43" s="129"/>
    </row>
    <row r="44" spans="1:11" ht="31" thickBot="1">
      <c r="A44" s="10"/>
      <c r="B44" s="406" t="s">
        <v>84</v>
      </c>
      <c r="C44" s="16"/>
      <c r="D44" s="19"/>
    </row>
    <row r="45" spans="1:11">
      <c r="A45" s="10" t="s">
        <v>185</v>
      </c>
      <c r="B45" s="135">
        <v>649.9</v>
      </c>
      <c r="C45" s="8" t="s">
        <v>61</v>
      </c>
      <c r="D45" s="33" t="s">
        <v>33</v>
      </c>
      <c r="E45" s="8" t="s">
        <v>187</v>
      </c>
    </row>
    <row r="46" spans="1:11" ht="16" thickBot="1">
      <c r="A46" s="35" t="s">
        <v>186</v>
      </c>
      <c r="B46" s="138">
        <f>E42</f>
        <v>1905</v>
      </c>
      <c r="C46" s="36" t="s">
        <v>62</v>
      </c>
      <c r="D46" s="36" t="s">
        <v>29</v>
      </c>
      <c r="E46" s="36" t="s">
        <v>188</v>
      </c>
    </row>
    <row r="47" spans="1:11">
      <c r="A47" t="s">
        <v>166</v>
      </c>
      <c r="B47" s="27">
        <f>IF(B46&gt;B45,B45,B46)</f>
        <v>649.9</v>
      </c>
      <c r="C47" s="124">
        <v>0.72</v>
      </c>
      <c r="D47" s="11">
        <f>B47*C47</f>
        <v>467.92799999999994</v>
      </c>
      <c r="F47" t="s">
        <v>230</v>
      </c>
    </row>
    <row r="48" spans="1:11">
      <c r="A48" s="29" t="s">
        <v>32</v>
      </c>
      <c r="B48" s="27">
        <f>IF(B46&gt;B45*1.15,B45*0.15,B46-B47)</f>
        <v>97.484999999999999</v>
      </c>
      <c r="C48" s="124">
        <f>C47</f>
        <v>0.72</v>
      </c>
      <c r="D48" s="11">
        <f>B48*C48</f>
        <v>70.1892</v>
      </c>
    </row>
    <row r="49" spans="1:11">
      <c r="A49" t="s">
        <v>24</v>
      </c>
      <c r="B49" s="27">
        <f>IF(B46&gt;B45*1.4,B45*0.25,B46-(B47+B48))</f>
        <v>162.47499999999999</v>
      </c>
      <c r="C49" s="124">
        <f>C47*0.8</f>
        <v>0.57599999999999996</v>
      </c>
      <c r="D49" s="11">
        <f>B49*C49</f>
        <v>93.585599999999985</v>
      </c>
    </row>
    <row r="50" spans="1:11" ht="16" thickBot="1">
      <c r="A50" s="30" t="s">
        <v>227</v>
      </c>
      <c r="B50" s="18">
        <f>IF(B46&gt;B45*1.4,B46-B45*1.4,0)</f>
        <v>995.1400000000001</v>
      </c>
      <c r="C50" s="127">
        <v>0.21</v>
      </c>
      <c r="D50" s="34">
        <f>B50*C50</f>
        <v>208.97940000000003</v>
      </c>
      <c r="E50" s="30"/>
    </row>
    <row r="51" spans="1:11" ht="16" thickTop="1">
      <c r="B51" s="27">
        <f>SUM(B47:B50)</f>
        <v>1905</v>
      </c>
      <c r="D51" s="11">
        <f>SUM(D47:D50)</f>
        <v>840.68219999999997</v>
      </c>
      <c r="E51" s="501">
        <f>D51-D47</f>
        <v>372.75420000000003</v>
      </c>
      <c r="F51" s="19" t="s">
        <v>552</v>
      </c>
    </row>
    <row r="52" spans="1:11">
      <c r="K52" s="129"/>
    </row>
    <row r="53" spans="1:11" ht="31" thickBot="1">
      <c r="A53" s="35" t="s">
        <v>129</v>
      </c>
      <c r="B53" s="406" t="s">
        <v>84</v>
      </c>
      <c r="C53" s="35" t="s">
        <v>163</v>
      </c>
      <c r="D53" s="36" t="s">
        <v>29</v>
      </c>
      <c r="E53" s="144" t="s">
        <v>231</v>
      </c>
      <c r="F53" s="144"/>
      <c r="G53" s="144"/>
    </row>
    <row r="54" spans="1:11">
      <c r="A54" s="123" t="s">
        <v>189</v>
      </c>
      <c r="B54" s="136">
        <f>B46</f>
        <v>1905</v>
      </c>
      <c r="C54" s="121">
        <f>D54/B54</f>
        <v>0.24563149606299209</v>
      </c>
      <c r="D54" s="11">
        <f>D47</f>
        <v>467.92799999999994</v>
      </c>
      <c r="E54" t="s">
        <v>168</v>
      </c>
    </row>
    <row r="57" spans="1:11">
      <c r="A57" t="s">
        <v>192</v>
      </c>
    </row>
    <row r="58" spans="1:11">
      <c r="A58" s="10" t="s">
        <v>193</v>
      </c>
    </row>
    <row r="59" spans="1:11">
      <c r="A59" t="s">
        <v>164</v>
      </c>
    </row>
    <row r="60" spans="1:11">
      <c r="D60" s="33" t="s">
        <v>33</v>
      </c>
    </row>
    <row r="61" spans="1:11">
      <c r="A61" t="s">
        <v>129</v>
      </c>
    </row>
    <row r="62" spans="1:11">
      <c r="A62" t="s">
        <v>181</v>
      </c>
    </row>
    <row r="63" spans="1:11">
      <c r="A63" t="s">
        <v>182</v>
      </c>
    </row>
    <row r="64" spans="1:11">
      <c r="A64" s="39" t="s">
        <v>136</v>
      </c>
    </row>
    <row r="65" spans="1:7">
      <c r="A65" t="s">
        <v>132</v>
      </c>
    </row>
    <row r="66" spans="1:7">
      <c r="A66" s="39" t="s">
        <v>133</v>
      </c>
    </row>
    <row r="70" spans="1:7" ht="35" customHeight="1"/>
    <row r="71" spans="1:7" ht="38" customHeight="1">
      <c r="D71" s="139" t="s">
        <v>143</v>
      </c>
      <c r="E71" t="s">
        <v>135</v>
      </c>
      <c r="F71" t="s">
        <v>43</v>
      </c>
      <c r="G71" s="104" t="s">
        <v>134</v>
      </c>
    </row>
    <row r="72" spans="1:7" ht="38" customHeight="1">
      <c r="D72" s="8" t="s">
        <v>198</v>
      </c>
      <c r="F72">
        <v>2002</v>
      </c>
      <c r="G72">
        <v>3.2</v>
      </c>
    </row>
    <row r="73" spans="1:7" ht="38" customHeight="1">
      <c r="D73" s="8" t="s">
        <v>199</v>
      </c>
      <c r="F73">
        <v>2003</v>
      </c>
      <c r="G73">
        <v>20.399999999999999</v>
      </c>
    </row>
    <row r="74" spans="1:7" ht="38" customHeight="1">
      <c r="D74" s="8" t="s">
        <v>200</v>
      </c>
      <c r="E74" s="105">
        <f>(G74/G73)-100%</f>
        <v>0.65196078431372584</v>
      </c>
      <c r="F74">
        <v>2004</v>
      </c>
      <c r="G74">
        <v>33.700000000000003</v>
      </c>
    </row>
    <row r="75" spans="1:7" ht="38" customHeight="1">
      <c r="D75" s="8" t="s">
        <v>201</v>
      </c>
      <c r="E75" s="105">
        <f>(G75/G74)-100%</f>
        <v>6.8249258160237192E-2</v>
      </c>
      <c r="F75">
        <v>2005</v>
      </c>
      <c r="G75">
        <v>36</v>
      </c>
    </row>
    <row r="76" spans="1:7" ht="38" customHeight="1">
      <c r="D76" s="8" t="s">
        <v>202</v>
      </c>
      <c r="E76" s="105">
        <f t="shared" ref="E76:E77" si="0">(G76/G75)-100%</f>
        <v>1.1111111111111072E-2</v>
      </c>
      <c r="F76">
        <v>2006</v>
      </c>
      <c r="G76">
        <v>36.4</v>
      </c>
    </row>
    <row r="77" spans="1:7" ht="38" customHeight="1">
      <c r="D77" s="8" t="s">
        <v>203</v>
      </c>
      <c r="E77" s="105">
        <f t="shared" si="0"/>
        <v>9.0659340659340781E-2</v>
      </c>
      <c r="F77">
        <v>2007</v>
      </c>
      <c r="G77">
        <v>39.700000000000003</v>
      </c>
    </row>
    <row r="78" spans="1:7" ht="38" customHeight="1">
      <c r="D78" s="8" t="s">
        <v>204</v>
      </c>
      <c r="E78" s="105">
        <f>(G78/G77)-100%</f>
        <v>0.17380352644836261</v>
      </c>
      <c r="F78">
        <v>2008</v>
      </c>
      <c r="G78">
        <v>46.6</v>
      </c>
    </row>
    <row r="79" spans="1:7" ht="38" customHeight="1">
      <c r="D79" s="8" t="s">
        <v>205</v>
      </c>
      <c r="E79" s="140">
        <f>(G79/G78)-100%</f>
        <v>6.8669527896995541E-2</v>
      </c>
      <c r="F79">
        <v>2009</v>
      </c>
      <c r="G79">
        <v>49.8</v>
      </c>
    </row>
    <row r="80" spans="1:7" ht="38" customHeight="1">
      <c r="D80" s="8" t="s">
        <v>206</v>
      </c>
      <c r="E80" s="140">
        <f>(G80/G79)-100%</f>
        <v>5.4216867469879526E-2</v>
      </c>
      <c r="F80">
        <v>2010</v>
      </c>
      <c r="G80">
        <v>52.5</v>
      </c>
    </row>
    <row r="81" spans="1:7" ht="38" customHeight="1">
      <c r="D81" s="8" t="s">
        <v>207</v>
      </c>
      <c r="E81" s="140">
        <f t="shared" ref="E81:E87" si="1">(G81/G80)-100%</f>
        <v>3.4285714285714253E-2</v>
      </c>
      <c r="F81">
        <v>2011</v>
      </c>
      <c r="G81">
        <v>54.3</v>
      </c>
    </row>
    <row r="82" spans="1:7" ht="38" customHeight="1">
      <c r="D82" s="8" t="s">
        <v>208</v>
      </c>
      <c r="E82" s="140">
        <f t="shared" si="1"/>
        <v>-1.8416206261508972E-3</v>
      </c>
      <c r="F82">
        <v>2012</v>
      </c>
      <c r="G82">
        <v>54.2</v>
      </c>
    </row>
    <row r="83" spans="1:7" ht="38" customHeight="1">
      <c r="D83" s="8" t="s">
        <v>209</v>
      </c>
      <c r="E83" s="140">
        <f t="shared" si="1"/>
        <v>2.2140221402213944E-2</v>
      </c>
      <c r="F83">
        <v>2013</v>
      </c>
      <c r="G83">
        <v>55.4</v>
      </c>
    </row>
    <row r="84" spans="1:7" ht="38" customHeight="1">
      <c r="D84" s="8" t="s">
        <v>210</v>
      </c>
      <c r="E84" s="140">
        <f t="shared" si="1"/>
        <v>9.0252707581226499E-3</v>
      </c>
      <c r="F84">
        <v>2014</v>
      </c>
      <c r="G84">
        <v>55.9</v>
      </c>
    </row>
    <row r="85" spans="1:7" ht="38" customHeight="1">
      <c r="D85" s="8" t="s">
        <v>211</v>
      </c>
      <c r="E85" s="140">
        <f t="shared" si="1"/>
        <v>2.3255813953488413E-2</v>
      </c>
      <c r="F85">
        <v>2015</v>
      </c>
      <c r="G85">
        <v>57.2</v>
      </c>
    </row>
    <row r="86" spans="1:7" ht="38" customHeight="1">
      <c r="D86" s="8" t="s">
        <v>212</v>
      </c>
      <c r="E86" s="140">
        <f t="shared" si="1"/>
        <v>6.2937062937062915E-2</v>
      </c>
      <c r="F86">
        <v>2016</v>
      </c>
      <c r="G86">
        <v>60.8</v>
      </c>
    </row>
    <row r="87" spans="1:7" ht="38" customHeight="1">
      <c r="D87" s="2" t="s">
        <v>197</v>
      </c>
      <c r="E87" s="107">
        <f t="shared" si="1"/>
        <v>4.4407894736842257E-2</v>
      </c>
      <c r="F87">
        <v>2017</v>
      </c>
      <c r="G87" s="44">
        <v>63.5</v>
      </c>
    </row>
    <row r="88" spans="1:7" ht="35" customHeight="1">
      <c r="D88" s="141" t="s">
        <v>142</v>
      </c>
      <c r="E88" s="142" t="s">
        <v>177</v>
      </c>
    </row>
    <row r="89" spans="1:7" ht="35" customHeight="1">
      <c r="D89" s="58"/>
      <c r="E89" s="143">
        <f>AVERAGE(E79:E87)</f>
        <v>3.5232972534907619E-2</v>
      </c>
    </row>
    <row r="91" spans="1:7">
      <c r="A91" t="s">
        <v>151</v>
      </c>
    </row>
    <row r="92" spans="1:7">
      <c r="A92" t="s">
        <v>144</v>
      </c>
    </row>
  </sheetData>
  <hyperlinks>
    <hyperlink ref="A64" r:id="rId1" location="Stations"/>
    <hyperlink ref="A12" r:id="rId2" location="!/om+metroen/facts+om+metroen/statistik/passagertal"/>
    <hyperlink ref="A66" r:id="rId3" location="!/om+metroen/facts+om+metroen/statistik/passagertal"/>
  </hyperlinks>
  <pageMargins left="0.75" right="0.75" top="1" bottom="1" header="0.5" footer="0.5"/>
  <pageSetup orientation="portrait" horizontalDpi="4294967292" verticalDpi="4294967292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K16" sqref="K16"/>
    </sheetView>
  </sheetViews>
  <sheetFormatPr baseColWidth="10" defaultRowHeight="15" x14ac:dyDescent="0"/>
  <sheetData>
    <row r="1" spans="1:10">
      <c r="A1" t="s">
        <v>435</v>
      </c>
    </row>
    <row r="2" spans="1:10">
      <c r="A2" t="s">
        <v>436</v>
      </c>
      <c r="C2" t="s">
        <v>474</v>
      </c>
    </row>
    <row r="3" spans="1:10">
      <c r="A3" t="s">
        <v>437</v>
      </c>
    </row>
    <row r="4" spans="1:10">
      <c r="A4" t="s">
        <v>438</v>
      </c>
    </row>
    <row r="6" spans="1:10">
      <c r="B6" s="14" t="s">
        <v>439</v>
      </c>
      <c r="C6" s="14"/>
      <c r="D6" s="14"/>
      <c r="E6" s="14"/>
      <c r="I6" s="378" t="s">
        <v>501</v>
      </c>
    </row>
    <row r="7" spans="1:10">
      <c r="B7" s="14" t="s">
        <v>441</v>
      </c>
      <c r="C7" s="14"/>
      <c r="D7" s="14"/>
      <c r="E7" s="14"/>
      <c r="I7" s="704" t="s">
        <v>713</v>
      </c>
      <c r="J7" s="704" t="s">
        <v>714</v>
      </c>
    </row>
    <row r="8" spans="1:10">
      <c r="B8" s="14" t="s">
        <v>461</v>
      </c>
      <c r="C8" s="14"/>
      <c r="D8" s="14"/>
      <c r="E8" s="14"/>
      <c r="I8" s="705">
        <v>1</v>
      </c>
      <c r="J8" s="705">
        <v>0.95</v>
      </c>
    </row>
    <row r="9" spans="1:10">
      <c r="B9" s="10" t="s">
        <v>456</v>
      </c>
      <c r="C9" s="14"/>
      <c r="D9" s="14"/>
      <c r="E9" s="14"/>
      <c r="I9" s="706">
        <v>3.7</v>
      </c>
      <c r="J9" s="706">
        <f>I9*J8</f>
        <v>3.5150000000000001</v>
      </c>
    </row>
    <row r="10" spans="1:10">
      <c r="B10" s="14" t="s">
        <v>457</v>
      </c>
      <c r="C10" s="14"/>
      <c r="D10" s="14"/>
      <c r="E10" s="14"/>
    </row>
    <row r="11" spans="1:10">
      <c r="B11" s="14" t="s">
        <v>458</v>
      </c>
      <c r="C11" s="14"/>
      <c r="D11" s="14"/>
      <c r="E11" s="14"/>
    </row>
    <row r="12" spans="1:10">
      <c r="B12" s="14" t="s">
        <v>459</v>
      </c>
      <c r="C12" s="14"/>
      <c r="D12" s="14"/>
      <c r="E12" s="14"/>
    </row>
    <row r="13" spans="1:10">
      <c r="B13" s="14" t="s">
        <v>460</v>
      </c>
      <c r="C13" s="14"/>
      <c r="D13" s="14"/>
      <c r="E13" s="14"/>
    </row>
    <row r="14" spans="1:10">
      <c r="B14" s="14" t="s">
        <v>440</v>
      </c>
      <c r="C14" s="14"/>
      <c r="D14" s="14"/>
      <c r="E14" s="14"/>
    </row>
    <row r="15" spans="1:10">
      <c r="B15" s="14" t="s">
        <v>715</v>
      </c>
      <c r="C15" s="14"/>
      <c r="D15" s="14"/>
      <c r="E15" s="14"/>
    </row>
    <row r="16" spans="1:10">
      <c r="B16" s="707" t="s">
        <v>716</v>
      </c>
      <c r="C16" s="14"/>
      <c r="D16" s="14"/>
      <c r="E16" s="14"/>
    </row>
    <row r="17" spans="1:5">
      <c r="B17" s="707" t="s">
        <v>717</v>
      </c>
      <c r="C17" s="14"/>
      <c r="D17" s="14"/>
      <c r="E17" s="14"/>
    </row>
    <row r="18" spans="1:5">
      <c r="B18" s="707" t="s">
        <v>718</v>
      </c>
      <c r="C18" s="14"/>
      <c r="D18" s="14"/>
      <c r="E18" s="14"/>
    </row>
    <row r="19" spans="1:5">
      <c r="B19" s="707" t="s">
        <v>442</v>
      </c>
      <c r="C19" s="14"/>
      <c r="D19" s="14"/>
      <c r="E19" s="14"/>
    </row>
    <row r="20" spans="1:5">
      <c r="B20" s="707" t="s">
        <v>443</v>
      </c>
      <c r="C20" s="14"/>
      <c r="D20" s="14"/>
      <c r="E20" s="14"/>
    </row>
    <row r="21" spans="1:5">
      <c r="B21" s="707" t="s">
        <v>444</v>
      </c>
      <c r="C21" s="14"/>
      <c r="D21" s="14"/>
      <c r="E21" s="14"/>
    </row>
    <row r="22" spans="1:5">
      <c r="B22" s="707" t="s">
        <v>719</v>
      </c>
      <c r="C22" s="14"/>
      <c r="D22" s="14"/>
      <c r="E22" s="14"/>
    </row>
    <row r="24" spans="1:5" ht="19">
      <c r="B24" s="357" t="s">
        <v>445</v>
      </c>
    </row>
    <row r="25" spans="1:5">
      <c r="B25" s="355" t="s">
        <v>446</v>
      </c>
    </row>
    <row r="26" spans="1:5">
      <c r="B26" s="356" t="s">
        <v>447</v>
      </c>
    </row>
    <row r="27" spans="1:5">
      <c r="B27" t="s">
        <v>419</v>
      </c>
    </row>
    <row r="29" spans="1:5">
      <c r="A29" t="s">
        <v>448</v>
      </c>
    </row>
    <row r="30" spans="1:5">
      <c r="A30" t="s">
        <v>449</v>
      </c>
    </row>
    <row r="31" spans="1:5">
      <c r="A31" t="s">
        <v>450</v>
      </c>
    </row>
    <row r="32" spans="1:5">
      <c r="A32" t="s">
        <v>451</v>
      </c>
    </row>
    <row r="33" spans="1:7">
      <c r="A33" t="s">
        <v>452</v>
      </c>
    </row>
    <row r="35" spans="1:7">
      <c r="B35" t="s">
        <v>454</v>
      </c>
    </row>
    <row r="36" spans="1:7">
      <c r="B36" s="39" t="s">
        <v>453</v>
      </c>
    </row>
    <row r="38" spans="1:7">
      <c r="B38" t="s">
        <v>455</v>
      </c>
    </row>
    <row r="42" spans="1:7">
      <c r="A42" s="365"/>
      <c r="B42" s="75"/>
      <c r="C42" s="75"/>
    </row>
    <row r="43" spans="1:7">
      <c r="A43" s="32" t="s">
        <v>463</v>
      </c>
      <c r="B43" s="32"/>
      <c r="C43" s="362"/>
      <c r="D43" s="32"/>
      <c r="E43" s="32"/>
      <c r="F43" s="32"/>
      <c r="G43" s="32"/>
    </row>
    <row r="44" spans="1:7">
      <c r="A44" s="482" t="s">
        <v>605</v>
      </c>
      <c r="B44" s="32"/>
      <c r="C44" s="32"/>
      <c r="D44" s="32"/>
      <c r="E44" s="32"/>
      <c r="F44" s="32"/>
      <c r="G44" s="32"/>
    </row>
    <row r="45" spans="1:7">
      <c r="A45" s="483" t="s">
        <v>464</v>
      </c>
      <c r="B45" s="32"/>
      <c r="C45" s="32"/>
      <c r="D45" s="32"/>
      <c r="E45" s="32"/>
      <c r="F45" s="32"/>
      <c r="G45" s="32"/>
    </row>
    <row r="46" spans="1:7">
      <c r="A46" s="484" t="s">
        <v>466</v>
      </c>
      <c r="B46" s="32"/>
      <c r="C46" s="32"/>
      <c r="D46" s="32"/>
      <c r="E46" s="32"/>
      <c r="F46" s="32"/>
      <c r="G46" s="32"/>
    </row>
    <row r="47" spans="1:7">
      <c r="A47" s="484" t="s">
        <v>465</v>
      </c>
      <c r="B47" s="32"/>
      <c r="C47" s="362"/>
      <c r="D47" s="32"/>
      <c r="E47" s="32"/>
      <c r="F47" s="32"/>
      <c r="G47" s="32"/>
    </row>
    <row r="48" spans="1:7">
      <c r="A48" s="366" t="s">
        <v>467</v>
      </c>
      <c r="B48" s="32"/>
      <c r="C48" s="362"/>
    </row>
    <row r="49" spans="1:3">
      <c r="A49" s="366"/>
      <c r="B49" s="32"/>
      <c r="C49" s="362"/>
    </row>
    <row r="50" spans="1:3" ht="16" thickBot="1">
      <c r="A50" s="363" t="s">
        <v>419</v>
      </c>
      <c r="B50" s="144"/>
      <c r="C50" s="364"/>
    </row>
  </sheetData>
  <hyperlinks>
    <hyperlink ref="B36" r:id="rId1"/>
    <hyperlink ref="A50" r:id="rId2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3366FF"/>
  </sheetPr>
  <dimension ref="A1:BE142"/>
  <sheetViews>
    <sheetView tabSelected="1" workbookViewId="0">
      <pane xSplit="6" ySplit="19" topLeftCell="G104" activePane="bottomRight" state="frozen"/>
      <selection pane="topRight" activeCell="G1" sqref="G1"/>
      <selection pane="bottomLeft" activeCell="A20" sqref="A20"/>
      <selection pane="bottomRight" activeCell="F7" sqref="F7"/>
    </sheetView>
  </sheetViews>
  <sheetFormatPr baseColWidth="10" defaultRowHeight="15" x14ac:dyDescent="0"/>
  <cols>
    <col min="1" max="1" width="12.1640625" customWidth="1"/>
    <col min="2" max="2" width="10.83203125" customWidth="1"/>
    <col min="3" max="3" width="11" customWidth="1"/>
    <col min="4" max="4" width="14.83203125" customWidth="1"/>
    <col min="5" max="5" width="15.6640625" customWidth="1"/>
    <col min="6" max="6" width="13.5" customWidth="1"/>
    <col min="7" max="7" width="13.6640625" customWidth="1"/>
    <col min="8" max="8" width="15" customWidth="1"/>
    <col min="9" max="9" width="13.6640625" customWidth="1"/>
    <col min="10" max="10" width="15.5" customWidth="1"/>
    <col min="11" max="11" width="16.1640625" customWidth="1"/>
    <col min="12" max="12" width="15.6640625" customWidth="1"/>
    <col min="13" max="13" width="15.1640625" style="167" customWidth="1"/>
    <col min="14" max="14" width="14" customWidth="1"/>
    <col min="15" max="15" width="16" style="167" customWidth="1"/>
    <col min="16" max="20" width="16" customWidth="1"/>
    <col min="21" max="21" width="11.5" customWidth="1"/>
    <col min="22" max="22" width="8.33203125" style="8" customWidth="1"/>
    <col min="23" max="23" width="8.33203125" customWidth="1"/>
    <col min="24" max="25" width="16.83203125" customWidth="1"/>
    <col min="26" max="26" width="15.83203125" customWidth="1"/>
    <col min="27" max="27" width="17.6640625" customWidth="1"/>
    <col min="28" max="28" width="15.83203125" customWidth="1"/>
    <col min="29" max="29" width="7.33203125" customWidth="1"/>
    <col min="30" max="31" width="15.6640625" customWidth="1"/>
    <col min="32" max="32" width="8" customWidth="1"/>
    <col min="33" max="33" width="16" customWidth="1"/>
    <col min="34" max="34" width="15.1640625" customWidth="1"/>
    <col min="35" max="35" width="14.33203125" customWidth="1"/>
    <col min="36" max="36" width="16" customWidth="1"/>
    <col min="37" max="37" width="7.33203125" customWidth="1"/>
    <col min="38" max="38" width="16.1640625" customWidth="1"/>
    <col min="39" max="41" width="15.1640625" customWidth="1"/>
    <col min="42" max="42" width="2.83203125" customWidth="1"/>
    <col min="43" max="43" width="15.5" customWidth="1"/>
    <col min="44" max="44" width="14.83203125" customWidth="1"/>
    <col min="45" max="45" width="15.6640625" customWidth="1"/>
    <col min="46" max="46" width="2.83203125" customWidth="1"/>
    <col min="48" max="48" width="2.83203125" customWidth="1"/>
    <col min="49" max="49" width="16.33203125" customWidth="1"/>
    <col min="50" max="50" width="5.5" customWidth="1"/>
    <col min="51" max="51" width="15.5" customWidth="1"/>
    <col min="53" max="53" width="16.33203125" customWidth="1"/>
    <col min="54" max="54" width="15.5" customWidth="1"/>
    <col min="55" max="55" width="15.1640625" customWidth="1"/>
    <col min="56" max="56" width="13.6640625" customWidth="1"/>
    <col min="57" max="57" width="15" customWidth="1"/>
  </cols>
  <sheetData>
    <row r="1" spans="1:57" ht="68" customHeight="1" thickBot="1">
      <c r="A1" s="10" t="s">
        <v>692</v>
      </c>
      <c r="M1" s="150" t="s">
        <v>691</v>
      </c>
      <c r="N1" s="478" t="s">
        <v>722</v>
      </c>
      <c r="O1" s="150" t="s">
        <v>723</v>
      </c>
      <c r="P1" s="151" t="s">
        <v>724</v>
      </c>
      <c r="Q1" s="149" t="s">
        <v>725</v>
      </c>
      <c r="R1" s="670" t="s">
        <v>690</v>
      </c>
      <c r="S1" s="438" t="s">
        <v>245</v>
      </c>
      <c r="T1" s="439" t="s">
        <v>726</v>
      </c>
      <c r="X1" s="169"/>
      <c r="Y1" s="169"/>
      <c r="Z1" s="169"/>
      <c r="AA1" s="153" t="s">
        <v>246</v>
      </c>
      <c r="AB1" s="169"/>
      <c r="AD1" s="20" t="s">
        <v>191</v>
      </c>
      <c r="AE1" s="155" t="s">
        <v>247</v>
      </c>
      <c r="AG1" s="156" t="s">
        <v>248</v>
      </c>
      <c r="AH1" s="157" t="s">
        <v>249</v>
      </c>
      <c r="AI1" s="158" t="s">
        <v>250</v>
      </c>
      <c r="AJ1" s="159" t="s">
        <v>251</v>
      </c>
      <c r="AL1" s="160" t="s">
        <v>248</v>
      </c>
      <c r="AM1" s="157" t="s">
        <v>252</v>
      </c>
      <c r="AN1" s="158" t="s">
        <v>253</v>
      </c>
      <c r="AO1" s="159" t="s">
        <v>254</v>
      </c>
      <c r="AQ1" s="20" t="s">
        <v>191</v>
      </c>
      <c r="AR1" s="158" t="s">
        <v>602</v>
      </c>
      <c r="AS1" s="161" t="s">
        <v>255</v>
      </c>
      <c r="AU1" s="162" t="s">
        <v>256</v>
      </c>
      <c r="AW1" s="163" t="s">
        <v>257</v>
      </c>
      <c r="AY1" s="158" t="s">
        <v>258</v>
      </c>
      <c r="BA1" s="164" t="s">
        <v>259</v>
      </c>
      <c r="BB1" s="165" t="s">
        <v>260</v>
      </c>
      <c r="BC1" s="165" t="s">
        <v>261</v>
      </c>
      <c r="BD1" s="165" t="s">
        <v>262</v>
      </c>
      <c r="BE1" s="166" t="s">
        <v>263</v>
      </c>
    </row>
    <row r="2" spans="1:57" ht="17" customHeight="1">
      <c r="A2" s="170" t="s">
        <v>268</v>
      </c>
      <c r="B2" s="171"/>
      <c r="C2" s="172"/>
      <c r="D2" s="480" t="s">
        <v>607</v>
      </c>
      <c r="K2" s="10"/>
      <c r="L2" s="313" t="s">
        <v>720</v>
      </c>
      <c r="M2" s="497">
        <f>5641000000/1000000000</f>
        <v>5.641</v>
      </c>
      <c r="N2" s="498"/>
      <c r="O2" s="499">
        <f>3995419000/1000000000</f>
        <v>3.9954190000000001</v>
      </c>
      <c r="P2" s="500"/>
      <c r="Q2" s="500"/>
      <c r="R2" s="499">
        <f>3012000000/1000000000</f>
        <v>3.012</v>
      </c>
      <c r="S2" s="500"/>
      <c r="T2" s="499">
        <f>982000000/1000000000</f>
        <v>0.98199999999999998</v>
      </c>
      <c r="X2" s="169"/>
      <c r="Y2" s="168"/>
      <c r="AA2" s="167"/>
      <c r="AB2" s="169"/>
    </row>
    <row r="3" spans="1:57" s="169" customFormat="1" ht="17" customHeight="1">
      <c r="A3" s="173" t="s">
        <v>270</v>
      </c>
      <c r="B3" s="174"/>
      <c r="C3" s="175"/>
      <c r="D3" s="176">
        <v>0.72</v>
      </c>
      <c r="E3"/>
      <c r="F3"/>
      <c r="G3"/>
      <c r="H3"/>
      <c r="I3"/>
      <c r="J3"/>
      <c r="K3" s="175"/>
      <c r="L3" s="708" t="s">
        <v>721</v>
      </c>
      <c r="M3" s="709">
        <f>SUM(M20:M34)/1000000000</f>
        <v>7.6189999999999998</v>
      </c>
      <c r="N3" s="710">
        <f>M3-M2</f>
        <v>1.9779999999999998</v>
      </c>
      <c r="O3" s="711">
        <f>SUM(O20:O34)/1000000000</f>
        <v>5.3150000000000004</v>
      </c>
      <c r="P3" s="712">
        <f t="shared" ref="P3:Q3" si="0">SUM(P20:P34)/1000000000</f>
        <v>0.45</v>
      </c>
      <c r="Q3" s="711">
        <f t="shared" si="0"/>
        <v>4.8650000000000002</v>
      </c>
      <c r="R3" s="711">
        <f>SUM(R20:R34)/1000000000</f>
        <v>4.1360000000000001</v>
      </c>
      <c r="S3" s="712">
        <f>SUM(S20:S34)/1000000000</f>
        <v>0.72899999999999998</v>
      </c>
      <c r="T3" s="712">
        <f>SUM(T20:T34)/1000000000</f>
        <v>1.179</v>
      </c>
      <c r="U3"/>
      <c r="V3" s="653"/>
      <c r="Y3" s="168"/>
      <c r="Z3" s="313" t="s">
        <v>462</v>
      </c>
      <c r="AA3" s="10" t="s">
        <v>416</v>
      </c>
      <c r="AC3"/>
      <c r="AD3"/>
      <c r="AE3"/>
      <c r="AF3"/>
      <c r="AG3"/>
      <c r="AH3" t="s">
        <v>264</v>
      </c>
      <c r="AI3"/>
    </row>
    <row r="4" spans="1:57" ht="17" customHeight="1">
      <c r="A4" s="178" t="s">
        <v>274</v>
      </c>
      <c r="B4" s="179"/>
      <c r="C4" s="175"/>
      <c r="D4" s="180">
        <f>D3*0.8</f>
        <v>0.57599999999999996</v>
      </c>
      <c r="K4" s="169"/>
      <c r="L4" s="169"/>
      <c r="V4" s="653"/>
      <c r="W4" s="169"/>
      <c r="Y4" s="168"/>
      <c r="Z4" t="s">
        <v>615</v>
      </c>
      <c r="AA4" s="246">
        <f>D30</f>
        <v>632600000</v>
      </c>
      <c r="AH4" t="s">
        <v>265</v>
      </c>
    </row>
    <row r="5" spans="1:57" ht="19" customHeight="1" thickBot="1">
      <c r="A5" s="183" t="s">
        <v>277</v>
      </c>
      <c r="B5" s="184"/>
      <c r="C5" s="184"/>
      <c r="D5" s="185">
        <v>0.21</v>
      </c>
      <c r="H5" s="485" t="s">
        <v>609</v>
      </c>
      <c r="I5" s="145"/>
      <c r="J5" s="145"/>
      <c r="K5" s="145"/>
      <c r="L5" s="703">
        <f>E18</f>
        <v>1.4</v>
      </c>
      <c r="R5" t="s">
        <v>611</v>
      </c>
      <c r="Y5" s="168"/>
      <c r="Z5" s="347" t="s">
        <v>270</v>
      </c>
      <c r="AA5" s="348">
        <v>0.72</v>
      </c>
      <c r="AH5" t="s">
        <v>266</v>
      </c>
    </row>
    <row r="6" spans="1:57" ht="19" customHeight="1" thickBot="1">
      <c r="H6" s="526" t="s">
        <v>728</v>
      </c>
      <c r="I6" s="527"/>
      <c r="J6" s="527"/>
      <c r="K6" s="527"/>
      <c r="L6" s="527"/>
      <c r="M6" s="522" t="s">
        <v>563</v>
      </c>
      <c r="N6" s="528"/>
      <c r="O6" s="523" t="s">
        <v>290</v>
      </c>
      <c r="P6" s="523" t="s">
        <v>290</v>
      </c>
      <c r="R6" t="s">
        <v>612</v>
      </c>
      <c r="Y6" s="168"/>
      <c r="Z6" s="52" t="s">
        <v>417</v>
      </c>
      <c r="AA6" s="376">
        <f>AA4*AA5</f>
        <v>455472000</v>
      </c>
      <c r="AH6" t="s">
        <v>267</v>
      </c>
    </row>
    <row r="7" spans="1:57" ht="16" customHeight="1" thickBot="1">
      <c r="H7" s="419" t="s">
        <v>483</v>
      </c>
      <c r="I7" s="68"/>
      <c r="J7" s="68" t="s">
        <v>61</v>
      </c>
      <c r="K7" s="68" t="s">
        <v>625</v>
      </c>
      <c r="L7" s="68" t="s">
        <v>68</v>
      </c>
      <c r="M7" s="441" t="s">
        <v>75</v>
      </c>
      <c r="N7" s="418" t="s">
        <v>627</v>
      </c>
      <c r="O7" s="535" t="s">
        <v>629</v>
      </c>
      <c r="P7" s="533" t="s">
        <v>601</v>
      </c>
      <c r="R7" t="s">
        <v>613</v>
      </c>
      <c r="Y7" s="168"/>
      <c r="Z7" s="377" t="s">
        <v>498</v>
      </c>
      <c r="AA7" s="271">
        <f>AD17</f>
        <v>236000000</v>
      </c>
      <c r="AH7" t="s">
        <v>269</v>
      </c>
      <c r="AY7" s="549" t="s">
        <v>483</v>
      </c>
      <c r="AZ7" s="550"/>
      <c r="BA7" s="550"/>
      <c r="BB7" s="550" t="s">
        <v>630</v>
      </c>
      <c r="BC7" s="550" t="s">
        <v>631</v>
      </c>
      <c r="BD7" s="550" t="s">
        <v>632</v>
      </c>
      <c r="BE7" s="551" t="s">
        <v>633</v>
      </c>
    </row>
    <row r="8" spans="1:57" ht="16" customHeight="1" thickTop="1" thickBot="1">
      <c r="H8" s="419" t="s">
        <v>196</v>
      </c>
      <c r="I8" s="68" t="s">
        <v>482</v>
      </c>
      <c r="J8" s="68" t="s">
        <v>62</v>
      </c>
      <c r="K8" s="68" t="s">
        <v>626</v>
      </c>
      <c r="L8" s="68" t="s">
        <v>562</v>
      </c>
      <c r="M8" s="442" t="s">
        <v>564</v>
      </c>
      <c r="N8" s="481" t="s">
        <v>565</v>
      </c>
      <c r="O8" s="521" t="s">
        <v>75</v>
      </c>
      <c r="P8" s="534" t="s">
        <v>75</v>
      </c>
      <c r="R8" t="s">
        <v>614</v>
      </c>
      <c r="Y8" s="360"/>
      <c r="Z8" s="361" t="s">
        <v>418</v>
      </c>
      <c r="AA8" s="359">
        <f>AA6-AA7</f>
        <v>219472000</v>
      </c>
      <c r="AB8" t="s">
        <v>499</v>
      </c>
      <c r="AG8" s="10" t="s">
        <v>271</v>
      </c>
      <c r="AH8" s="177" t="s">
        <v>272</v>
      </c>
      <c r="AI8" s="177" t="s">
        <v>273</v>
      </c>
      <c r="AY8" s="419" t="s">
        <v>196</v>
      </c>
      <c r="AZ8" s="68" t="s">
        <v>482</v>
      </c>
      <c r="BA8" s="68" t="s">
        <v>627</v>
      </c>
      <c r="BB8" s="552">
        <v>0.65</v>
      </c>
      <c r="BC8" s="548">
        <v>0.115</v>
      </c>
      <c r="BD8" s="553">
        <v>5.0000000000000001E-3</v>
      </c>
      <c r="BE8" s="554">
        <v>0.23</v>
      </c>
    </row>
    <row r="9" spans="1:57" ht="19" customHeight="1">
      <c r="A9" s="691" t="s">
        <v>695</v>
      </c>
      <c r="B9" s="54"/>
      <c r="C9" s="54"/>
      <c r="D9" s="54"/>
      <c r="E9" s="98"/>
      <c r="H9" s="486" t="s">
        <v>479</v>
      </c>
      <c r="I9" s="487" t="s">
        <v>77</v>
      </c>
      <c r="J9" s="488">
        <f>SUM(M20:M34)/1000000000</f>
        <v>7.6189999999999998</v>
      </c>
      <c r="K9" s="489">
        <f>SUM(N20:N34)/1000000000</f>
        <v>2.3039999999999998</v>
      </c>
      <c r="L9" s="495">
        <f>SUM(O20:O34)/1000000000</f>
        <v>5.3150000000000004</v>
      </c>
      <c r="M9" s="524">
        <f>SUM(R20:R34)/1000000000</f>
        <v>4.1360000000000001</v>
      </c>
      <c r="N9" s="506">
        <f>SUM(T20:T34)/1000000000</f>
        <v>1.179</v>
      </c>
      <c r="O9" s="695">
        <f>SUM(AR20:AR34)/1000000000</f>
        <v>0.62252388888888888</v>
      </c>
      <c r="P9" s="491">
        <f>SUM(AY20:AY34)/1000000000</f>
        <v>-3.5134761111111117</v>
      </c>
      <c r="R9" t="s">
        <v>610</v>
      </c>
      <c r="Z9" s="349"/>
      <c r="AG9" s="10" t="s">
        <v>275</v>
      </c>
      <c r="AH9" s="181">
        <v>2950000000</v>
      </c>
      <c r="AI9" s="182">
        <v>0.51</v>
      </c>
      <c r="AJ9" t="s">
        <v>276</v>
      </c>
      <c r="AY9" s="486" t="s">
        <v>479</v>
      </c>
      <c r="AZ9" s="487" t="s">
        <v>77</v>
      </c>
      <c r="BA9" s="546">
        <f>SUM(BA20:BA34)/1000000000</f>
        <v>1.179</v>
      </c>
      <c r="BB9" s="546">
        <f t="shared" ref="BB9:BE9" si="1">SUM(BB20:BB34)/1000000000</f>
        <v>0.76634999999999998</v>
      </c>
      <c r="BC9" s="546">
        <f t="shared" si="1"/>
        <v>0.13558500000000001</v>
      </c>
      <c r="BD9" s="546">
        <f t="shared" si="1"/>
        <v>5.8950000000000001E-3</v>
      </c>
      <c r="BE9" s="555">
        <f t="shared" si="1"/>
        <v>0.27117000000000002</v>
      </c>
    </row>
    <row r="10" spans="1:57" ht="20">
      <c r="A10" s="351"/>
      <c r="B10" s="32"/>
      <c r="C10" s="32"/>
      <c r="D10" s="83" t="s">
        <v>608</v>
      </c>
      <c r="E10" s="700">
        <v>1</v>
      </c>
      <c r="F10" t="s">
        <v>698</v>
      </c>
      <c r="H10" s="486" t="s">
        <v>480</v>
      </c>
      <c r="I10" s="487" t="s">
        <v>120</v>
      </c>
      <c r="J10" s="488">
        <f>SUM(M20:M49)/1000000000</f>
        <v>17.367000000000001</v>
      </c>
      <c r="K10" s="489">
        <f>SUM(N20:N49)/1000000000</f>
        <v>5.2530000000000001</v>
      </c>
      <c r="L10" s="495">
        <f>SUM(O20:O49)/1000000000</f>
        <v>12.114000000000001</v>
      </c>
      <c r="M10" s="524">
        <f>SUM(R20:R49)/1000000000</f>
        <v>9.5340000000000007</v>
      </c>
      <c r="N10" s="506">
        <f>SUM(T20:T49)/1000000000</f>
        <v>2.581</v>
      </c>
      <c r="O10" s="695">
        <f>SUM(AR20:AR49)/1000000000</f>
        <v>1.6243922222222213</v>
      </c>
      <c r="P10" s="491">
        <f>SUM(AY20:AY49)/1000000000</f>
        <v>-7.9096077777777731</v>
      </c>
      <c r="AG10" t="s">
        <v>278</v>
      </c>
      <c r="AH10" s="17">
        <v>1280000000</v>
      </c>
      <c r="AI10" s="182">
        <v>0.245</v>
      </c>
      <c r="AY10" s="486" t="s">
        <v>480</v>
      </c>
      <c r="AZ10" s="487" t="s">
        <v>120</v>
      </c>
      <c r="BA10" s="546">
        <f>SUM(BA20:BA49)/1000000000</f>
        <v>2.581</v>
      </c>
      <c r="BB10" s="546">
        <f t="shared" ref="BB10:BE10" si="2">SUM(BB20:BB49)/1000000000</f>
        <v>1.6776500000000001</v>
      </c>
      <c r="BC10" s="546">
        <f t="shared" si="2"/>
        <v>0.296815</v>
      </c>
      <c r="BD10" s="546">
        <f t="shared" si="2"/>
        <v>1.2905E-2</v>
      </c>
      <c r="BE10" s="555">
        <f t="shared" si="2"/>
        <v>0.59362999999999999</v>
      </c>
    </row>
    <row r="11" spans="1:57" ht="21" thickBot="1">
      <c r="A11" s="351"/>
      <c r="B11" s="32"/>
      <c r="C11" s="32"/>
      <c r="D11" s="83" t="s">
        <v>705</v>
      </c>
      <c r="E11" s="692">
        <v>1.3</v>
      </c>
      <c r="H11" s="505" t="s">
        <v>606</v>
      </c>
      <c r="I11" s="529" t="s">
        <v>121</v>
      </c>
      <c r="J11" s="530">
        <f>SUM(M20:M116)/1000000000</f>
        <v>68.775000000000006</v>
      </c>
      <c r="K11" s="492">
        <f>SUM(N20:N116)/1000000000</f>
        <v>20.81</v>
      </c>
      <c r="L11" s="496">
        <f>SUM(O20:O116)/1000000000</f>
        <v>47.965000000000003</v>
      </c>
      <c r="M11" s="525">
        <f>SUM(R20:R116)/1000000000</f>
        <v>38.298999999999999</v>
      </c>
      <c r="N11" s="507">
        <f>SUM(T20:T116)/1000000000</f>
        <v>9.67</v>
      </c>
      <c r="O11" s="696">
        <f>SUM(AR20:AR116)/1000000000</f>
        <v>7.8886227777777904</v>
      </c>
      <c r="P11" s="494">
        <f>SUM(AY20:AY116)/1000000000</f>
        <v>-30.410377222222191</v>
      </c>
      <c r="AG11" t="s">
        <v>279</v>
      </c>
      <c r="AH11" s="17">
        <v>1280000000</v>
      </c>
      <c r="AI11" s="182">
        <v>0.245</v>
      </c>
      <c r="AY11" s="505" t="s">
        <v>606</v>
      </c>
      <c r="AZ11" s="529" t="s">
        <v>121</v>
      </c>
      <c r="BA11" s="547">
        <f>SUM(BA20:BA116)/1000000000</f>
        <v>9.67</v>
      </c>
      <c r="BB11" s="547">
        <f t="shared" ref="BB11:BE11" si="3">SUM(BB20:BB116)/1000000000</f>
        <v>6.2854999999999999</v>
      </c>
      <c r="BC11" s="547">
        <f t="shared" si="3"/>
        <v>1.11205</v>
      </c>
      <c r="BD11" s="547">
        <f t="shared" si="3"/>
        <v>4.8349999999999997E-2</v>
      </c>
      <c r="BE11" s="556">
        <f t="shared" si="3"/>
        <v>2.2241</v>
      </c>
    </row>
    <row r="12" spans="1:57" ht="20">
      <c r="A12" s="351"/>
      <c r="B12" s="32"/>
      <c r="C12" s="32"/>
      <c r="D12" s="52" t="s">
        <v>696</v>
      </c>
      <c r="E12" s="700">
        <v>1.4</v>
      </c>
      <c r="H12" t="s">
        <v>650</v>
      </c>
      <c r="AH12" s="17"/>
      <c r="AI12" s="182"/>
    </row>
    <row r="13" spans="1:57" ht="20">
      <c r="D13" s="83" t="s">
        <v>704</v>
      </c>
      <c r="E13" s="692">
        <v>1.73</v>
      </c>
      <c r="H13" t="s">
        <v>651</v>
      </c>
      <c r="M13" s="440"/>
      <c r="N13" s="32"/>
      <c r="O13"/>
      <c r="AG13" t="s">
        <v>280</v>
      </c>
      <c r="AH13" s="17">
        <v>295000000</v>
      </c>
      <c r="AI13" s="186">
        <v>0</v>
      </c>
    </row>
    <row r="14" spans="1:57" ht="21" thickBot="1">
      <c r="A14" s="351"/>
      <c r="B14" s="32"/>
      <c r="C14" s="32"/>
      <c r="D14" s="83" t="s">
        <v>706</v>
      </c>
      <c r="E14" s="692">
        <v>1.93</v>
      </c>
      <c r="G14" s="32"/>
      <c r="T14" s="167"/>
      <c r="AG14" s="30" t="s">
        <v>281</v>
      </c>
      <c r="AH14" s="187">
        <v>512000000</v>
      </c>
      <c r="AI14" s="186">
        <v>0</v>
      </c>
    </row>
    <row r="15" spans="1:57" ht="21" thickTop="1">
      <c r="A15" s="351"/>
      <c r="B15" s="32"/>
      <c r="C15" s="32"/>
      <c r="D15" s="83" t="s">
        <v>685</v>
      </c>
      <c r="E15" s="700">
        <v>2.58</v>
      </c>
      <c r="G15" s="32"/>
      <c r="H15" s="32"/>
      <c r="N15" s="681" t="s">
        <v>689</v>
      </c>
      <c r="O15" s="682"/>
      <c r="R15" s="146" t="s">
        <v>577</v>
      </c>
      <c r="X15" s="168"/>
      <c r="AD15" t="s">
        <v>282</v>
      </c>
      <c r="AH15" s="17">
        <f>SUM(AH9:AH14)</f>
        <v>6317000000</v>
      </c>
      <c r="AI15" s="182"/>
    </row>
    <row r="16" spans="1:57" ht="21" thickBot="1">
      <c r="A16" s="56"/>
      <c r="B16" s="144"/>
      <c r="C16" s="144"/>
      <c r="D16" s="99" t="s">
        <v>708</v>
      </c>
      <c r="E16" s="693">
        <v>3.1</v>
      </c>
      <c r="F16" t="s">
        <v>697</v>
      </c>
      <c r="G16" s="32"/>
      <c r="H16" s="32"/>
      <c r="K16" s="32"/>
      <c r="N16" s="683">
        <v>0.21</v>
      </c>
      <c r="O16" s="686"/>
      <c r="R16" s="684" t="s">
        <v>238</v>
      </c>
      <c r="V16" s="654"/>
      <c r="W16" s="168"/>
      <c r="AD16" t="s">
        <v>415</v>
      </c>
      <c r="AG16" t="s">
        <v>283</v>
      </c>
      <c r="BA16" t="s">
        <v>284</v>
      </c>
    </row>
    <row r="17" spans="1:57" ht="34" customHeight="1" thickBot="1">
      <c r="A17" s="10" t="s">
        <v>609</v>
      </c>
      <c r="G17" s="190" t="s">
        <v>693</v>
      </c>
      <c r="H17" s="191"/>
      <c r="I17" s="191"/>
      <c r="J17" s="191"/>
      <c r="K17" s="191"/>
      <c r="L17" s="192"/>
      <c r="M17" s="701" t="s">
        <v>712</v>
      </c>
      <c r="N17" s="685" t="s">
        <v>688</v>
      </c>
      <c r="O17" s="686"/>
      <c r="Y17" s="193"/>
      <c r="AA17" s="358" t="s">
        <v>497</v>
      </c>
      <c r="AD17" s="194">
        <f>AH9*0.08</f>
        <v>236000000</v>
      </c>
      <c r="AG17" s="195">
        <f>SUM(AH17:AJ17)</f>
        <v>131555555.55555555</v>
      </c>
      <c r="AH17" s="196">
        <f>AI17*28/36</f>
        <v>36835555.555555552</v>
      </c>
      <c r="AI17" s="197">
        <f>AH10*0.037</f>
        <v>47360000</v>
      </c>
      <c r="AJ17" s="198">
        <f>AH11*0.037</f>
        <v>47360000</v>
      </c>
      <c r="AK17" t="s">
        <v>285</v>
      </c>
      <c r="BA17" s="10" t="s">
        <v>286</v>
      </c>
    </row>
    <row r="18" spans="1:57" ht="32" customHeight="1" thickBot="1">
      <c r="A18" s="699" t="s">
        <v>707</v>
      </c>
      <c r="B18" s="188"/>
      <c r="C18" s="188"/>
      <c r="D18" s="189"/>
      <c r="E18" s="694">
        <v>1.4</v>
      </c>
      <c r="F18" s="650" t="s">
        <v>709</v>
      </c>
      <c r="G18" s="199" t="s">
        <v>683</v>
      </c>
      <c r="H18" s="200" t="s">
        <v>681</v>
      </c>
      <c r="I18" s="199" t="s">
        <v>683</v>
      </c>
      <c r="J18" s="201" t="s">
        <v>682</v>
      </c>
      <c r="K18" s="199" t="s">
        <v>683</v>
      </c>
      <c r="L18" s="202" t="s">
        <v>287</v>
      </c>
      <c r="M18" s="702" t="s">
        <v>61</v>
      </c>
      <c r="N18" s="687">
        <f>N26/M26</f>
        <v>0.30236486486486486</v>
      </c>
      <c r="O18" s="688">
        <f>O26/M26</f>
        <v>0.69763513513513509</v>
      </c>
      <c r="P18" s="59"/>
      <c r="Q18" s="203"/>
      <c r="R18" s="678" t="s">
        <v>686</v>
      </c>
      <c r="S18" s="679"/>
      <c r="T18" s="680"/>
      <c r="X18" s="467" t="s">
        <v>575</v>
      </c>
      <c r="Y18" s="469"/>
      <c r="Z18" s="470"/>
      <c r="AA18" s="205">
        <v>-220000000</v>
      </c>
      <c r="AH18" s="206">
        <f>AH17/$AG17</f>
        <v>0.27999999999999997</v>
      </c>
      <c r="AI18" s="206">
        <f>AI17/$AG17</f>
        <v>0.36</v>
      </c>
      <c r="AJ18" s="206">
        <f>AJ17/$AG17</f>
        <v>0.36</v>
      </c>
      <c r="AL18" t="s">
        <v>288</v>
      </c>
      <c r="AQ18" t="s">
        <v>289</v>
      </c>
      <c r="AU18" s="10" t="s">
        <v>290</v>
      </c>
      <c r="AW18" t="s">
        <v>291</v>
      </c>
      <c r="AY18" t="s">
        <v>292</v>
      </c>
      <c r="BA18" s="10" t="s">
        <v>293</v>
      </c>
      <c r="BB18" s="10" t="s">
        <v>294</v>
      </c>
    </row>
    <row r="19" spans="1:57" ht="83" customHeight="1" thickBot="1">
      <c r="A19" s="697" t="s">
        <v>710</v>
      </c>
      <c r="B19" s="208" t="s">
        <v>43</v>
      </c>
      <c r="C19" s="207" t="s">
        <v>727</v>
      </c>
      <c r="D19" s="697" t="s">
        <v>699</v>
      </c>
      <c r="E19" s="343" t="s">
        <v>295</v>
      </c>
      <c r="F19" s="649" t="s">
        <v>680</v>
      </c>
      <c r="G19" s="209" t="s">
        <v>23</v>
      </c>
      <c r="H19" s="210">
        <f>D$3</f>
        <v>0.72</v>
      </c>
      <c r="I19" s="211" t="s">
        <v>24</v>
      </c>
      <c r="J19" s="212">
        <f>H19*0.8</f>
        <v>0.57599999999999996</v>
      </c>
      <c r="K19" s="211" t="s">
        <v>25</v>
      </c>
      <c r="L19" s="213">
        <f>D$5</f>
        <v>0.21</v>
      </c>
      <c r="M19" s="150" t="s">
        <v>694</v>
      </c>
      <c r="N19" s="214" t="str">
        <f>"Revenus usagers moyen ARTM
" &amp;N16&amp;" $ par
passager-km"</f>
        <v>Revenus usagers moyen ARTM_x000D_0,21 $ par_x000D_passager-km</v>
      </c>
      <c r="O19" s="150" t="s">
        <v>711</v>
      </c>
      <c r="P19" s="215" t="s">
        <v>296</v>
      </c>
      <c r="Q19" s="216" t="s">
        <v>297</v>
      </c>
      <c r="R19" s="670" t="s">
        <v>690</v>
      </c>
      <c r="S19" s="438" t="s">
        <v>245</v>
      </c>
      <c r="T19" s="439" t="s">
        <v>726</v>
      </c>
      <c r="U19" s="675" t="s">
        <v>687</v>
      </c>
      <c r="V19" s="471" t="s">
        <v>578</v>
      </c>
      <c r="X19" s="468" t="s">
        <v>502</v>
      </c>
      <c r="Y19" s="152" t="s">
        <v>298</v>
      </c>
      <c r="Z19" s="152" t="s">
        <v>579</v>
      </c>
      <c r="AA19" s="153" t="s">
        <v>496</v>
      </c>
      <c r="AB19" s="154" t="s">
        <v>576</v>
      </c>
      <c r="AD19" s="217" t="s">
        <v>299</v>
      </c>
      <c r="AE19" s="155" t="s">
        <v>247</v>
      </c>
      <c r="AF19" s="177"/>
      <c r="AG19" s="156" t="s">
        <v>248</v>
      </c>
      <c r="AH19" s="218" t="s">
        <v>300</v>
      </c>
      <c r="AI19" s="219" t="s">
        <v>301</v>
      </c>
      <c r="AJ19" s="220" t="s">
        <v>302</v>
      </c>
      <c r="AL19" s="160" t="s">
        <v>248</v>
      </c>
      <c r="AM19" s="221" t="s">
        <v>303</v>
      </c>
      <c r="AN19" s="222" t="s">
        <v>304</v>
      </c>
      <c r="AO19" s="223" t="s">
        <v>305</v>
      </c>
      <c r="AQ19" s="224" t="s">
        <v>306</v>
      </c>
      <c r="AR19" s="222" t="s">
        <v>603</v>
      </c>
      <c r="AS19" s="223" t="s">
        <v>307</v>
      </c>
      <c r="AU19" s="225" t="s">
        <v>308</v>
      </c>
      <c r="AW19" s="226" t="s">
        <v>309</v>
      </c>
      <c r="AY19" s="227" t="s">
        <v>604</v>
      </c>
      <c r="BA19" s="164" t="s">
        <v>259</v>
      </c>
      <c r="BB19" s="165" t="s">
        <v>260</v>
      </c>
      <c r="BC19" s="165" t="s">
        <v>261</v>
      </c>
      <c r="BD19" s="165" t="s">
        <v>262</v>
      </c>
      <c r="BE19" s="166" t="s">
        <v>263</v>
      </c>
    </row>
    <row r="20" spans="1:57">
      <c r="A20" s="8" t="s">
        <v>397</v>
      </c>
      <c r="B20" s="1">
        <v>2021</v>
      </c>
      <c r="C20" s="40"/>
      <c r="D20" s="40">
        <v>72600000</v>
      </c>
      <c r="E20" s="344">
        <f>D20*E$18</f>
        <v>101640000</v>
      </c>
      <c r="F20" s="676">
        <f>ROUND(E20/15,-6)</f>
        <v>7000000</v>
      </c>
      <c r="G20" s="16">
        <f>IF(E20&gt;D20*1.15,D20*1.15,E20)</f>
        <v>83490000</v>
      </c>
      <c r="H20" s="228">
        <f>ROUND(G20*H$19,-5)</f>
        <v>60100000</v>
      </c>
      <c r="I20" s="16">
        <f>IF(E20&gt;D20*1.4,D20*0.25,E20-G20)</f>
        <v>18150000</v>
      </c>
      <c r="J20" s="19">
        <f>I20*J$19</f>
        <v>10454400</v>
      </c>
      <c r="K20" s="16">
        <f>IF(E20&gt;D20*1.4,E20-D20*1.4,0)</f>
        <v>0</v>
      </c>
      <c r="L20" s="25">
        <f>K20*L$19</f>
        <v>0</v>
      </c>
      <c r="M20" s="229">
        <f>ROUND(H20+J20+L20,-6)</f>
        <v>71000000</v>
      </c>
      <c r="N20" s="230">
        <f>ROUND(E20*N$16,-6)</f>
        <v>21000000</v>
      </c>
      <c r="O20" s="231">
        <f>M20-N20</f>
        <v>50000000</v>
      </c>
      <c r="P20" s="232">
        <f>IF(O20&gt;30000000,30000000,O20)</f>
        <v>30000000</v>
      </c>
      <c r="Q20" s="233">
        <f>O20-P20</f>
        <v>20000000</v>
      </c>
      <c r="R20" s="655">
        <f>ROUND(Q20*0.85,-6)</f>
        <v>17000000</v>
      </c>
      <c r="S20" s="656">
        <f>ROUND(Q20*0.15,-6)</f>
        <v>3000000</v>
      </c>
      <c r="T20" s="234">
        <f>S20+P20</f>
        <v>33000000</v>
      </c>
      <c r="U20" s="124">
        <f>O20/F20</f>
        <v>7.1428571428571432</v>
      </c>
      <c r="V20" s="124">
        <f>M20/E20</f>
        <v>0.69854388036206216</v>
      </c>
      <c r="X20" s="379">
        <f>M20</f>
        <v>71000000</v>
      </c>
      <c r="Y20" s="235">
        <v>12000000</v>
      </c>
      <c r="Z20" s="19">
        <v>5000000</v>
      </c>
      <c r="AA20" s="236">
        <f>AA$18/4</f>
        <v>-55000000</v>
      </c>
      <c r="AB20" s="237">
        <f>X20+Y20+Z20+AA20</f>
        <v>33000000</v>
      </c>
      <c r="AD20" s="238">
        <f t="shared" ref="AD20:AD83" si="4">IF(AB20&lt;AD$17,AB20,AD$17)</f>
        <v>33000000</v>
      </c>
      <c r="AE20" s="238">
        <f>AB20-AD20</f>
        <v>0</v>
      </c>
      <c r="AF20" s="17"/>
      <c r="AG20" s="239">
        <f t="shared" ref="AG20:AG83" si="5">IF(AE20&gt;AG$17,AG$17,AE20)</f>
        <v>0</v>
      </c>
      <c r="AH20" s="240">
        <f>IF($AG20&lt;AG$17,$AG20*0.28,AH$17)</f>
        <v>0</v>
      </c>
      <c r="AI20" s="240">
        <f>IF($AG20&lt;AG$17,$AG20*0.36,AI$17)</f>
        <v>0</v>
      </c>
      <c r="AJ20" s="241">
        <f>IF($AG20&lt;AG$17,$AG20*0.36,AJ$17)</f>
        <v>0</v>
      </c>
      <c r="AL20" s="239">
        <f>AB20-AD20-AG20</f>
        <v>0</v>
      </c>
      <c r="AM20" s="17">
        <f t="shared" ref="AM20:AM83" si="6">AL20*0.51</f>
        <v>0</v>
      </c>
      <c r="AN20" s="17">
        <f>AL20*0.245</f>
        <v>0</v>
      </c>
      <c r="AO20" s="233">
        <f>AL20*0.245</f>
        <v>0</v>
      </c>
      <c r="AQ20" s="242">
        <f t="shared" ref="AQ20:AQ83" si="7">AD20+AH20+AM20</f>
        <v>33000000</v>
      </c>
      <c r="AR20" s="17">
        <f t="shared" ref="AR20:AS48" si="8">AI20+AN20</f>
        <v>0</v>
      </c>
      <c r="AS20" s="233">
        <f t="shared" si="8"/>
        <v>0</v>
      </c>
      <c r="AU20" s="243"/>
      <c r="AW20" s="244">
        <f t="shared" ref="AW20:AW83" si="9">N20/(X20+N20)</f>
        <v>0.22826086956521738</v>
      </c>
      <c r="AY20" s="238">
        <f>AR20-R20</f>
        <v>-17000000</v>
      </c>
      <c r="BA20" s="19">
        <f>T20</f>
        <v>33000000</v>
      </c>
      <c r="BB20" s="19">
        <f>BA20*0.65</f>
        <v>21450000</v>
      </c>
      <c r="BC20" s="19">
        <f t="shared" ref="BC20:BC83" si="10">BA20*0.115</f>
        <v>3795000</v>
      </c>
      <c r="BD20" s="19">
        <f t="shared" ref="BD20:BD83" si="11">BA20*0.005</f>
        <v>165000</v>
      </c>
      <c r="BE20" s="19">
        <f>BA20*0.23</f>
        <v>7590000</v>
      </c>
    </row>
    <row r="21" spans="1:57">
      <c r="A21" s="8" t="s">
        <v>199</v>
      </c>
      <c r="B21" s="1">
        <v>2022</v>
      </c>
      <c r="C21" s="245">
        <v>1.6659999999999999</v>
      </c>
      <c r="D21" s="246">
        <f t="shared" ref="D21:D48" si="12">ROUND(D20*(100%+C21),-5)</f>
        <v>193600000</v>
      </c>
      <c r="E21" s="344">
        <f t="shared" ref="E21:E84" si="13">D21*E$18</f>
        <v>271040000</v>
      </c>
      <c r="F21" s="676">
        <f>ROUND(E21/15,-6)</f>
        <v>18000000</v>
      </c>
      <c r="G21" s="247">
        <f>IF(E21&gt;D21*1.15,D21*1.15,E21)</f>
        <v>222639999.99999997</v>
      </c>
      <c r="H21" s="248">
        <f>ROUND(G21*H$19,-5)</f>
        <v>160300000</v>
      </c>
      <c r="I21" s="247">
        <f t="shared" ref="I21:I84" si="14">IF(E21&gt;D21*1.4,D21*0.25,E21-G21)</f>
        <v>48400000.00000003</v>
      </c>
      <c r="J21" s="249">
        <f t="shared" ref="J21:J84" si="15">I21*J$19</f>
        <v>27878400.000000015</v>
      </c>
      <c r="K21" s="247">
        <f t="shared" ref="K21:K84" si="16">IF(E21&gt;D21*1.4,E21-D21*1.4,0)</f>
        <v>0</v>
      </c>
      <c r="L21" s="250">
        <f t="shared" ref="L21:L84" si="17">K21*L$19</f>
        <v>0</v>
      </c>
      <c r="M21" s="251">
        <f t="shared" ref="M21:M84" si="18">ROUND(H21+J21+L21,-6)</f>
        <v>188000000</v>
      </c>
      <c r="N21" s="230">
        <f t="shared" ref="N21:N84" si="19">ROUND(E21*N$16,-6)</f>
        <v>57000000</v>
      </c>
      <c r="O21" s="231">
        <f t="shared" ref="O21:O84" si="20">M21-N21</f>
        <v>131000000</v>
      </c>
      <c r="P21" s="252">
        <v>30000000</v>
      </c>
      <c r="Q21" s="233">
        <f t="shared" ref="Q21:Q84" si="21">O21-P21</f>
        <v>101000000</v>
      </c>
      <c r="R21" s="657">
        <f t="shared" ref="R21:R84" si="22">ROUND(Q21*0.85,-6)</f>
        <v>86000000</v>
      </c>
      <c r="S21" s="658">
        <f>ROUND(Q21*0.15,-6)</f>
        <v>15000000</v>
      </c>
      <c r="T21" s="253">
        <f t="shared" ref="T21:T84" si="23">S21+P21</f>
        <v>45000000</v>
      </c>
      <c r="U21" s="124">
        <f t="shared" ref="U21:U84" si="24">O21/F21</f>
        <v>7.2777777777777777</v>
      </c>
      <c r="V21" s="124">
        <f t="shared" ref="V21:V84" si="25">M21/E21</f>
        <v>0.69362455726092087</v>
      </c>
      <c r="W21" s="32"/>
      <c r="X21" s="379">
        <f t="shared" ref="X21:X84" si="26">M21</f>
        <v>188000000</v>
      </c>
      <c r="Y21" s="235">
        <v>12000000</v>
      </c>
      <c r="Z21" s="19">
        <v>5000000</v>
      </c>
      <c r="AA21" s="236">
        <f>AA$18/2</f>
        <v>-110000000</v>
      </c>
      <c r="AB21" s="237">
        <f t="shared" ref="AB21:AB84" si="27">X21+Y21+Z21+AA21</f>
        <v>95000000</v>
      </c>
      <c r="AC21" s="59"/>
      <c r="AD21" s="254">
        <f t="shared" si="4"/>
        <v>95000000</v>
      </c>
      <c r="AE21" s="254">
        <f t="shared" ref="AE21:AE84" si="28">AB21-AD21</f>
        <v>0</v>
      </c>
      <c r="AF21" s="249"/>
      <c r="AG21" s="255">
        <f t="shared" si="5"/>
        <v>0</v>
      </c>
      <c r="AH21" s="240">
        <f t="shared" ref="AH21:AH84" si="29">IF($AG21&lt;AG$17,$AG21*0.28,AH$17)</f>
        <v>0</v>
      </c>
      <c r="AI21" s="240">
        <f t="shared" ref="AI21:AI84" si="30">IF($AG21&lt;AG$17,$AG21*0.36,AI$17)</f>
        <v>0</v>
      </c>
      <c r="AJ21" s="241">
        <f t="shared" ref="AJ21:AJ84" si="31">IF($AG21&lt;AG$17,$AG21*0.36,AJ$17)</f>
        <v>0</v>
      </c>
      <c r="AK21" s="59"/>
      <c r="AL21" s="255">
        <f>AB21-AD21-AG21</f>
        <v>0</v>
      </c>
      <c r="AM21" s="249">
        <f t="shared" si="6"/>
        <v>0</v>
      </c>
      <c r="AN21" s="249">
        <f t="shared" ref="AN21:AN84" si="32">AL21*0.245</f>
        <v>0</v>
      </c>
      <c r="AO21" s="256">
        <f t="shared" ref="AO21:AO84" si="33">AL21*0.245</f>
        <v>0</v>
      </c>
      <c r="AP21" s="59"/>
      <c r="AQ21" s="257">
        <f t="shared" si="7"/>
        <v>95000000</v>
      </c>
      <c r="AR21" s="249">
        <f t="shared" si="8"/>
        <v>0</v>
      </c>
      <c r="AS21" s="256">
        <f t="shared" si="8"/>
        <v>0</v>
      </c>
      <c r="AT21" s="59"/>
      <c r="AU21" s="243"/>
      <c r="AV21" s="59"/>
      <c r="AW21" s="258">
        <f t="shared" si="9"/>
        <v>0.23265306122448978</v>
      </c>
      <c r="AX21" s="59"/>
      <c r="AY21" s="254">
        <f>AR21-R21</f>
        <v>-86000000</v>
      </c>
      <c r="BA21" s="19">
        <f t="shared" ref="BA21:BA84" si="34">T21</f>
        <v>45000000</v>
      </c>
      <c r="BB21" s="19">
        <f t="shared" ref="BB21:BB84" si="35">BA21*0.65</f>
        <v>29250000</v>
      </c>
      <c r="BC21" s="19">
        <f t="shared" si="10"/>
        <v>5175000</v>
      </c>
      <c r="BD21" s="19">
        <f t="shared" si="11"/>
        <v>225000</v>
      </c>
      <c r="BE21" s="19">
        <f t="shared" ref="BE21:BE84" si="36">BA21*0.23</f>
        <v>10350000</v>
      </c>
    </row>
    <row r="22" spans="1:57">
      <c r="A22" s="8" t="s">
        <v>200</v>
      </c>
      <c r="B22" s="1">
        <v>2023</v>
      </c>
      <c r="C22" s="245">
        <v>0.26750000000000002</v>
      </c>
      <c r="D22" s="246">
        <f t="shared" si="12"/>
        <v>245400000</v>
      </c>
      <c r="E22" s="344">
        <f t="shared" si="13"/>
        <v>343560000</v>
      </c>
      <c r="F22" s="676">
        <f t="shared" ref="F22:F85" si="37">ROUND(E22/15,-6)</f>
        <v>23000000</v>
      </c>
      <c r="G22" s="16">
        <f t="shared" ref="G22:G85" si="38">IF(E22&gt;D22*1.15,D22*1.15,E22)</f>
        <v>282210000</v>
      </c>
      <c r="H22" s="19">
        <f>G22*H$19</f>
        <v>203191200</v>
      </c>
      <c r="I22" s="16">
        <f t="shared" si="14"/>
        <v>61350000</v>
      </c>
      <c r="J22" s="19">
        <f t="shared" si="15"/>
        <v>35337600</v>
      </c>
      <c r="K22" s="16">
        <f t="shared" si="16"/>
        <v>0</v>
      </c>
      <c r="L22" s="25">
        <f t="shared" si="17"/>
        <v>0</v>
      </c>
      <c r="M22" s="229">
        <f t="shared" si="18"/>
        <v>239000000</v>
      </c>
      <c r="N22" s="230">
        <f t="shared" si="19"/>
        <v>72000000</v>
      </c>
      <c r="O22" s="231">
        <f t="shared" si="20"/>
        <v>167000000</v>
      </c>
      <c r="P22" s="232">
        <f t="shared" ref="P22:P84" si="39">P21</f>
        <v>30000000</v>
      </c>
      <c r="Q22" s="233">
        <f t="shared" si="21"/>
        <v>137000000</v>
      </c>
      <c r="R22" s="659">
        <f t="shared" si="22"/>
        <v>116000000</v>
      </c>
      <c r="S22" s="656">
        <f t="shared" ref="S22:S85" si="40">ROUND(Q22*0.15,-6)</f>
        <v>21000000</v>
      </c>
      <c r="T22" s="234">
        <f t="shared" si="23"/>
        <v>51000000</v>
      </c>
      <c r="U22" s="124">
        <f t="shared" si="24"/>
        <v>7.2608695652173916</v>
      </c>
      <c r="V22" s="124">
        <f t="shared" si="25"/>
        <v>0.69565723599953433</v>
      </c>
      <c r="X22" s="379">
        <f t="shared" si="26"/>
        <v>239000000</v>
      </c>
      <c r="Y22" s="235">
        <v>12000000</v>
      </c>
      <c r="Z22" s="19">
        <v>5000000</v>
      </c>
      <c r="AA22" s="236">
        <f>AA$18/2</f>
        <v>-110000000</v>
      </c>
      <c r="AB22" s="237">
        <f t="shared" si="27"/>
        <v>146000000</v>
      </c>
      <c r="AD22" s="238">
        <f t="shared" si="4"/>
        <v>146000000</v>
      </c>
      <c r="AE22" s="238">
        <f t="shared" si="28"/>
        <v>0</v>
      </c>
      <c r="AF22" s="17"/>
      <c r="AG22" s="239">
        <f t="shared" si="5"/>
        <v>0</v>
      </c>
      <c r="AH22" s="240">
        <f t="shared" si="29"/>
        <v>0</v>
      </c>
      <c r="AI22" s="240">
        <f t="shared" si="30"/>
        <v>0</v>
      </c>
      <c r="AJ22" s="241">
        <f t="shared" si="31"/>
        <v>0</v>
      </c>
      <c r="AK22" s="32"/>
      <c r="AL22" s="239">
        <f>AB22-AD22-AG22</f>
        <v>0</v>
      </c>
      <c r="AM22" s="17">
        <f t="shared" si="6"/>
        <v>0</v>
      </c>
      <c r="AN22" s="17">
        <f t="shared" si="32"/>
        <v>0</v>
      </c>
      <c r="AO22" s="233">
        <f t="shared" si="33"/>
        <v>0</v>
      </c>
      <c r="AP22" s="32"/>
      <c r="AQ22" s="242">
        <f t="shared" si="7"/>
        <v>146000000</v>
      </c>
      <c r="AR22" s="17">
        <f t="shared" si="8"/>
        <v>0</v>
      </c>
      <c r="AS22" s="233">
        <f t="shared" si="8"/>
        <v>0</v>
      </c>
      <c r="AT22" s="32"/>
      <c r="AU22" s="243"/>
      <c r="AW22" s="244">
        <f t="shared" si="9"/>
        <v>0.23151125401929259</v>
      </c>
      <c r="AY22" s="238">
        <f t="shared" ref="AY22:AY85" si="41">AR22-R22</f>
        <v>-116000000</v>
      </c>
      <c r="BA22" s="19">
        <f t="shared" si="34"/>
        <v>51000000</v>
      </c>
      <c r="BB22" s="19">
        <f t="shared" si="35"/>
        <v>33150000</v>
      </c>
      <c r="BC22" s="19">
        <f t="shared" si="10"/>
        <v>5865000</v>
      </c>
      <c r="BD22" s="19">
        <f t="shared" si="11"/>
        <v>255000</v>
      </c>
      <c r="BE22" s="19">
        <f t="shared" si="36"/>
        <v>11730000</v>
      </c>
    </row>
    <row r="23" spans="1:57">
      <c r="A23" s="8" t="s">
        <v>201</v>
      </c>
      <c r="B23" s="1">
        <v>2024</v>
      </c>
      <c r="C23" s="245">
        <v>1.0365</v>
      </c>
      <c r="D23" s="246">
        <f t="shared" si="12"/>
        <v>499800000</v>
      </c>
      <c r="E23" s="344">
        <f t="shared" si="13"/>
        <v>699720000</v>
      </c>
      <c r="F23" s="676">
        <f t="shared" si="37"/>
        <v>47000000</v>
      </c>
      <c r="G23" s="16">
        <f t="shared" si="38"/>
        <v>574770000</v>
      </c>
      <c r="H23" s="19">
        <f t="shared" ref="H23:H86" si="42">G23*H$19</f>
        <v>413834400</v>
      </c>
      <c r="I23" s="16">
        <f t="shared" si="14"/>
        <v>124950000</v>
      </c>
      <c r="J23" s="19">
        <f t="shared" si="15"/>
        <v>71971200</v>
      </c>
      <c r="K23" s="16">
        <f t="shared" si="16"/>
        <v>0</v>
      </c>
      <c r="L23" s="25">
        <f t="shared" si="17"/>
        <v>0</v>
      </c>
      <c r="M23" s="229">
        <f t="shared" si="18"/>
        <v>486000000</v>
      </c>
      <c r="N23" s="230">
        <f t="shared" si="19"/>
        <v>147000000</v>
      </c>
      <c r="O23" s="231">
        <f>M23-N23</f>
        <v>339000000</v>
      </c>
      <c r="P23" s="232">
        <f t="shared" si="39"/>
        <v>30000000</v>
      </c>
      <c r="Q23" s="233">
        <f t="shared" si="21"/>
        <v>309000000</v>
      </c>
      <c r="R23" s="659">
        <f t="shared" si="22"/>
        <v>263000000</v>
      </c>
      <c r="S23" s="656">
        <f t="shared" si="40"/>
        <v>46000000</v>
      </c>
      <c r="T23" s="234">
        <f t="shared" si="23"/>
        <v>76000000</v>
      </c>
      <c r="U23" s="124">
        <f t="shared" si="24"/>
        <v>7.2127659574468082</v>
      </c>
      <c r="V23" s="124">
        <f t="shared" si="25"/>
        <v>0.6945635397015949</v>
      </c>
      <c r="X23" s="379">
        <f t="shared" si="26"/>
        <v>486000000</v>
      </c>
      <c r="Y23" s="235">
        <v>12000000</v>
      </c>
      <c r="Z23" s="19">
        <v>5000000</v>
      </c>
      <c r="AA23" s="236">
        <f>AA18</f>
        <v>-220000000</v>
      </c>
      <c r="AB23" s="237">
        <f t="shared" si="27"/>
        <v>283000000</v>
      </c>
      <c r="AD23" s="238">
        <f t="shared" si="4"/>
        <v>236000000</v>
      </c>
      <c r="AE23" s="238">
        <f t="shared" si="28"/>
        <v>47000000</v>
      </c>
      <c r="AF23" s="17"/>
      <c r="AG23" s="239">
        <f t="shared" si="5"/>
        <v>47000000</v>
      </c>
      <c r="AH23" s="240">
        <f t="shared" si="29"/>
        <v>13160000.000000002</v>
      </c>
      <c r="AI23" s="240">
        <f t="shared" si="30"/>
        <v>16920000</v>
      </c>
      <c r="AJ23" s="241">
        <f t="shared" si="31"/>
        <v>16920000</v>
      </c>
      <c r="AK23" s="32"/>
      <c r="AL23" s="239">
        <f>AB23-AD23-AG23</f>
        <v>0</v>
      </c>
      <c r="AM23" s="17">
        <f t="shared" si="6"/>
        <v>0</v>
      </c>
      <c r="AN23" s="17">
        <f t="shared" si="32"/>
        <v>0</v>
      </c>
      <c r="AO23" s="233">
        <f t="shared" si="33"/>
        <v>0</v>
      </c>
      <c r="AP23" s="32"/>
      <c r="AQ23" s="242">
        <f t="shared" si="7"/>
        <v>249160000</v>
      </c>
      <c r="AR23" s="17">
        <f t="shared" si="8"/>
        <v>16920000</v>
      </c>
      <c r="AS23" s="233">
        <f t="shared" si="8"/>
        <v>16920000</v>
      </c>
      <c r="AT23" s="32"/>
      <c r="AU23" s="243"/>
      <c r="AW23" s="244">
        <f t="shared" si="9"/>
        <v>0.23222748815165878</v>
      </c>
      <c r="AY23" s="238">
        <f t="shared" si="41"/>
        <v>-246080000</v>
      </c>
      <c r="BA23" s="19">
        <f t="shared" si="34"/>
        <v>76000000</v>
      </c>
      <c r="BB23" s="19">
        <f t="shared" si="35"/>
        <v>49400000</v>
      </c>
      <c r="BC23" s="19">
        <f t="shared" si="10"/>
        <v>8740000</v>
      </c>
      <c r="BD23" s="19">
        <f t="shared" si="11"/>
        <v>380000</v>
      </c>
      <c r="BE23" s="19">
        <f t="shared" si="36"/>
        <v>17480000</v>
      </c>
    </row>
    <row r="24" spans="1:57" s="32" customFormat="1">
      <c r="A24" s="8" t="s">
        <v>202</v>
      </c>
      <c r="B24" s="1">
        <v>2025</v>
      </c>
      <c r="C24" s="259">
        <v>0.11459999999999999</v>
      </c>
      <c r="D24" s="246">
        <f t="shared" si="12"/>
        <v>557100000</v>
      </c>
      <c r="E24" s="344">
        <f t="shared" si="13"/>
        <v>779940000</v>
      </c>
      <c r="F24" s="676">
        <f t="shared" si="37"/>
        <v>52000000</v>
      </c>
      <c r="G24" s="16">
        <f t="shared" si="38"/>
        <v>640665000</v>
      </c>
      <c r="H24" s="17">
        <f t="shared" si="42"/>
        <v>461278800</v>
      </c>
      <c r="I24" s="16">
        <f t="shared" si="14"/>
        <v>139275000</v>
      </c>
      <c r="J24" s="17">
        <f t="shared" si="15"/>
        <v>80222400</v>
      </c>
      <c r="K24" s="16">
        <f t="shared" si="16"/>
        <v>0</v>
      </c>
      <c r="L24" s="25">
        <f t="shared" si="17"/>
        <v>0</v>
      </c>
      <c r="M24" s="229">
        <f t="shared" si="18"/>
        <v>542000000</v>
      </c>
      <c r="N24" s="230">
        <f t="shared" si="19"/>
        <v>164000000</v>
      </c>
      <c r="O24" s="231">
        <f t="shared" si="20"/>
        <v>378000000</v>
      </c>
      <c r="P24" s="232">
        <f t="shared" si="39"/>
        <v>30000000</v>
      </c>
      <c r="Q24" s="233">
        <f t="shared" si="21"/>
        <v>348000000</v>
      </c>
      <c r="R24" s="660">
        <f t="shared" si="22"/>
        <v>296000000</v>
      </c>
      <c r="S24" s="656">
        <f t="shared" si="40"/>
        <v>52000000</v>
      </c>
      <c r="T24" s="234">
        <f t="shared" si="23"/>
        <v>82000000</v>
      </c>
      <c r="U24" s="124">
        <f t="shared" si="24"/>
        <v>7.2692307692307692</v>
      </c>
      <c r="V24" s="124">
        <f t="shared" si="25"/>
        <v>0.69492525066030719</v>
      </c>
      <c r="X24" s="379">
        <f t="shared" si="26"/>
        <v>542000000</v>
      </c>
      <c r="Y24" s="235">
        <v>12000000</v>
      </c>
      <c r="Z24" s="19">
        <v>5000000</v>
      </c>
      <c r="AA24" s="236">
        <f>AA23</f>
        <v>-220000000</v>
      </c>
      <c r="AB24" s="237">
        <f t="shared" si="27"/>
        <v>339000000</v>
      </c>
      <c r="AC24"/>
      <c r="AD24" s="238">
        <f t="shared" si="4"/>
        <v>236000000</v>
      </c>
      <c r="AE24" s="238">
        <f t="shared" si="28"/>
        <v>103000000</v>
      </c>
      <c r="AF24" s="17"/>
      <c r="AG24" s="239">
        <f t="shared" si="5"/>
        <v>103000000</v>
      </c>
      <c r="AH24" s="240">
        <f t="shared" si="29"/>
        <v>28840000.000000004</v>
      </c>
      <c r="AI24" s="240">
        <f t="shared" si="30"/>
        <v>37080000</v>
      </c>
      <c r="AJ24" s="241">
        <f t="shared" si="31"/>
        <v>37080000</v>
      </c>
      <c r="AL24" s="239">
        <f>AE24-AG24</f>
        <v>0</v>
      </c>
      <c r="AM24" s="17">
        <f t="shared" si="6"/>
        <v>0</v>
      </c>
      <c r="AN24" s="17">
        <f t="shared" si="32"/>
        <v>0</v>
      </c>
      <c r="AO24" s="233">
        <f t="shared" si="33"/>
        <v>0</v>
      </c>
      <c r="AQ24" s="242">
        <f t="shared" si="7"/>
        <v>264840000</v>
      </c>
      <c r="AR24" s="17">
        <f t="shared" si="8"/>
        <v>37080000</v>
      </c>
      <c r="AS24" s="233">
        <f t="shared" si="8"/>
        <v>37080000</v>
      </c>
      <c r="AU24" s="243"/>
      <c r="AW24" s="244">
        <f t="shared" si="9"/>
        <v>0.23229461756373937</v>
      </c>
      <c r="AY24" s="238">
        <f t="shared" si="41"/>
        <v>-258920000</v>
      </c>
      <c r="BA24" s="19">
        <f t="shared" si="34"/>
        <v>82000000</v>
      </c>
      <c r="BB24" s="19">
        <f t="shared" si="35"/>
        <v>53300000</v>
      </c>
      <c r="BC24" s="19">
        <f t="shared" si="10"/>
        <v>9430000</v>
      </c>
      <c r="BD24" s="19">
        <f t="shared" si="11"/>
        <v>410000</v>
      </c>
      <c r="BE24" s="19">
        <f t="shared" si="36"/>
        <v>18860000</v>
      </c>
    </row>
    <row r="25" spans="1:57">
      <c r="A25" s="8" t="s">
        <v>203</v>
      </c>
      <c r="B25" s="1">
        <v>2026</v>
      </c>
      <c r="C25" s="259">
        <v>6.6000000000000003E-2</v>
      </c>
      <c r="D25" s="246">
        <f t="shared" si="12"/>
        <v>593900000</v>
      </c>
      <c r="E25" s="344">
        <f t="shared" si="13"/>
        <v>831460000</v>
      </c>
      <c r="F25" s="676">
        <f t="shared" si="37"/>
        <v>55000000</v>
      </c>
      <c r="G25" s="16">
        <f t="shared" si="38"/>
        <v>682985000</v>
      </c>
      <c r="H25" s="19">
        <f t="shared" si="42"/>
        <v>491749200</v>
      </c>
      <c r="I25" s="16">
        <f t="shared" si="14"/>
        <v>148475000</v>
      </c>
      <c r="J25" s="19">
        <f t="shared" si="15"/>
        <v>85521600</v>
      </c>
      <c r="K25" s="16">
        <f t="shared" si="16"/>
        <v>0</v>
      </c>
      <c r="L25" s="25">
        <f t="shared" si="17"/>
        <v>0</v>
      </c>
      <c r="M25" s="229">
        <f t="shared" si="18"/>
        <v>577000000</v>
      </c>
      <c r="N25" s="230">
        <f t="shared" si="19"/>
        <v>175000000</v>
      </c>
      <c r="O25" s="231">
        <f t="shared" si="20"/>
        <v>402000000</v>
      </c>
      <c r="P25" s="232">
        <f t="shared" si="39"/>
        <v>30000000</v>
      </c>
      <c r="Q25" s="233">
        <f t="shared" si="21"/>
        <v>372000000</v>
      </c>
      <c r="R25" s="659">
        <f t="shared" si="22"/>
        <v>316000000</v>
      </c>
      <c r="S25" s="656">
        <f t="shared" si="40"/>
        <v>56000000</v>
      </c>
      <c r="T25" s="234">
        <f t="shared" si="23"/>
        <v>86000000</v>
      </c>
      <c r="U25" s="124">
        <f t="shared" si="24"/>
        <v>7.3090909090909095</v>
      </c>
      <c r="V25" s="124">
        <f t="shared" si="25"/>
        <v>0.69396002212974772</v>
      </c>
      <c r="X25" s="379">
        <f t="shared" si="26"/>
        <v>577000000</v>
      </c>
      <c r="Y25" s="235">
        <v>12000000</v>
      </c>
      <c r="Z25" s="19">
        <v>5000000</v>
      </c>
      <c r="AA25" s="236">
        <f t="shared" ref="AA25:AA88" si="43">AA24</f>
        <v>-220000000</v>
      </c>
      <c r="AB25" s="237">
        <f t="shared" si="27"/>
        <v>374000000</v>
      </c>
      <c r="AD25" s="238">
        <f t="shared" si="4"/>
        <v>236000000</v>
      </c>
      <c r="AE25" s="238">
        <f t="shared" si="28"/>
        <v>138000000</v>
      </c>
      <c r="AF25" s="17"/>
      <c r="AG25" s="239">
        <f t="shared" si="5"/>
        <v>131555555.55555555</v>
      </c>
      <c r="AH25" s="240">
        <f t="shared" si="29"/>
        <v>36835555.555555552</v>
      </c>
      <c r="AI25" s="240">
        <f t="shared" si="30"/>
        <v>47360000</v>
      </c>
      <c r="AJ25" s="241">
        <f t="shared" si="31"/>
        <v>47360000</v>
      </c>
      <c r="AL25" s="239">
        <f t="shared" ref="AL25:AL88" si="44">AB25-AD25-AG25</f>
        <v>6444444.4444444478</v>
      </c>
      <c r="AM25" s="17">
        <f t="shared" si="6"/>
        <v>3286666.6666666684</v>
      </c>
      <c r="AN25" s="17">
        <f t="shared" si="32"/>
        <v>1578888.8888888897</v>
      </c>
      <c r="AO25" s="233">
        <f t="shared" si="33"/>
        <v>1578888.8888888897</v>
      </c>
      <c r="AQ25" s="242">
        <f t="shared" si="7"/>
        <v>276122222.22222227</v>
      </c>
      <c r="AR25" s="17">
        <f t="shared" si="8"/>
        <v>48938888.888888888</v>
      </c>
      <c r="AS25" s="233">
        <f t="shared" si="8"/>
        <v>48938888.888888888</v>
      </c>
      <c r="AU25" s="260">
        <f t="shared" ref="AU25:AU88" si="45">AQ25/AH$9</f>
        <v>9.3600753295668568E-2</v>
      </c>
      <c r="AW25" s="244">
        <f t="shared" si="9"/>
        <v>0.2327127659574468</v>
      </c>
      <c r="AY25" s="238">
        <f t="shared" si="41"/>
        <v>-267061111.1111111</v>
      </c>
      <c r="BA25" s="19">
        <f t="shared" si="34"/>
        <v>86000000</v>
      </c>
      <c r="BB25" s="19">
        <f t="shared" si="35"/>
        <v>55900000</v>
      </c>
      <c r="BC25" s="19">
        <f t="shared" si="10"/>
        <v>9890000</v>
      </c>
      <c r="BD25" s="19">
        <f t="shared" si="11"/>
        <v>430000</v>
      </c>
      <c r="BE25" s="19">
        <f t="shared" si="36"/>
        <v>19780000</v>
      </c>
    </row>
    <row r="26" spans="1:57">
      <c r="A26" s="8" t="s">
        <v>204</v>
      </c>
      <c r="B26" s="4">
        <v>2027</v>
      </c>
      <c r="C26" s="261">
        <v>2.5100000000000001E-2</v>
      </c>
      <c r="D26" s="246">
        <f t="shared" si="12"/>
        <v>608800000</v>
      </c>
      <c r="E26" s="344">
        <f t="shared" si="13"/>
        <v>852320000</v>
      </c>
      <c r="F26" s="676">
        <f t="shared" si="37"/>
        <v>57000000</v>
      </c>
      <c r="G26" s="16">
        <f t="shared" si="38"/>
        <v>700120000</v>
      </c>
      <c r="H26" s="19">
        <f t="shared" si="42"/>
        <v>504086400</v>
      </c>
      <c r="I26" s="16">
        <f t="shared" si="14"/>
        <v>152200000</v>
      </c>
      <c r="J26" s="19">
        <f t="shared" si="15"/>
        <v>87667200</v>
      </c>
      <c r="K26" s="16">
        <f t="shared" si="16"/>
        <v>0</v>
      </c>
      <c r="L26" s="25">
        <f t="shared" si="17"/>
        <v>0</v>
      </c>
      <c r="M26" s="479">
        <f t="shared" si="18"/>
        <v>592000000</v>
      </c>
      <c r="N26" s="651">
        <f t="shared" si="19"/>
        <v>179000000</v>
      </c>
      <c r="O26" s="671">
        <f t="shared" si="20"/>
        <v>413000000</v>
      </c>
      <c r="P26" s="668">
        <f t="shared" si="39"/>
        <v>30000000</v>
      </c>
      <c r="Q26" s="669">
        <f t="shared" si="21"/>
        <v>383000000</v>
      </c>
      <c r="R26" s="661">
        <f t="shared" si="22"/>
        <v>326000000</v>
      </c>
      <c r="S26" s="656">
        <f t="shared" si="40"/>
        <v>57000000</v>
      </c>
      <c r="T26" s="652">
        <f t="shared" si="23"/>
        <v>87000000</v>
      </c>
      <c r="U26" s="405">
        <f t="shared" si="24"/>
        <v>7.2456140350877192</v>
      </c>
      <c r="V26" s="672">
        <f t="shared" si="25"/>
        <v>0.69457480758400603</v>
      </c>
      <c r="X26" s="379">
        <f t="shared" si="26"/>
        <v>592000000</v>
      </c>
      <c r="Y26" s="235">
        <v>12000000</v>
      </c>
      <c r="Z26" s="19">
        <v>5000000</v>
      </c>
      <c r="AA26" s="236">
        <f t="shared" si="43"/>
        <v>-220000000</v>
      </c>
      <c r="AB26" s="237">
        <f t="shared" si="27"/>
        <v>389000000</v>
      </c>
      <c r="AD26" s="238">
        <f t="shared" si="4"/>
        <v>236000000</v>
      </c>
      <c r="AE26" s="238">
        <f t="shared" si="28"/>
        <v>153000000</v>
      </c>
      <c r="AF26" s="17"/>
      <c r="AG26" s="239">
        <f t="shared" si="5"/>
        <v>131555555.55555555</v>
      </c>
      <c r="AH26" s="240">
        <f t="shared" si="29"/>
        <v>36835555.555555552</v>
      </c>
      <c r="AI26" s="240">
        <f t="shared" si="30"/>
        <v>47360000</v>
      </c>
      <c r="AJ26" s="241">
        <f t="shared" si="31"/>
        <v>47360000</v>
      </c>
      <c r="AL26" s="239">
        <f t="shared" si="44"/>
        <v>21444444.444444448</v>
      </c>
      <c r="AM26" s="17">
        <f t="shared" si="6"/>
        <v>10936666.666666668</v>
      </c>
      <c r="AN26" s="17">
        <f t="shared" si="32"/>
        <v>5253888.8888888899</v>
      </c>
      <c r="AO26" s="233">
        <f t="shared" si="33"/>
        <v>5253888.8888888899</v>
      </c>
      <c r="AQ26" s="242">
        <f t="shared" si="7"/>
        <v>283772222.22222227</v>
      </c>
      <c r="AR26" s="464">
        <f t="shared" si="8"/>
        <v>52613888.888888888</v>
      </c>
      <c r="AS26" s="233">
        <f t="shared" si="8"/>
        <v>52613888.888888888</v>
      </c>
      <c r="AU26" s="260">
        <f t="shared" si="45"/>
        <v>9.6193973634651611E-2</v>
      </c>
      <c r="AW26" s="244">
        <f t="shared" si="9"/>
        <v>0.23216601815823606</v>
      </c>
      <c r="AY26" s="238">
        <f t="shared" si="41"/>
        <v>-273386111.1111111</v>
      </c>
      <c r="BA26" s="19">
        <f t="shared" si="34"/>
        <v>87000000</v>
      </c>
      <c r="BB26" s="19">
        <f t="shared" si="35"/>
        <v>56550000</v>
      </c>
      <c r="BC26" s="19">
        <f t="shared" si="10"/>
        <v>10005000</v>
      </c>
      <c r="BD26" s="19">
        <f t="shared" si="11"/>
        <v>435000</v>
      </c>
      <c r="BE26" s="19">
        <f t="shared" si="36"/>
        <v>20010000</v>
      </c>
    </row>
    <row r="27" spans="1:57">
      <c r="A27" s="8" t="s">
        <v>205</v>
      </c>
      <c r="B27" s="1">
        <v>2028</v>
      </c>
      <c r="C27" s="261">
        <v>1.2500000000000001E-2</v>
      </c>
      <c r="D27" s="246">
        <f t="shared" si="12"/>
        <v>616400000</v>
      </c>
      <c r="E27" s="344">
        <f t="shared" si="13"/>
        <v>862960000</v>
      </c>
      <c r="F27" s="676">
        <f t="shared" si="37"/>
        <v>58000000</v>
      </c>
      <c r="G27" s="16">
        <f t="shared" si="38"/>
        <v>708860000</v>
      </c>
      <c r="H27" s="19">
        <f t="shared" si="42"/>
        <v>510379200</v>
      </c>
      <c r="I27" s="16">
        <f t="shared" si="14"/>
        <v>154100000</v>
      </c>
      <c r="J27" s="19">
        <f t="shared" si="15"/>
        <v>88761600</v>
      </c>
      <c r="K27" s="16">
        <f t="shared" si="16"/>
        <v>0</v>
      </c>
      <c r="L27" s="25">
        <f t="shared" si="17"/>
        <v>0</v>
      </c>
      <c r="M27" s="229">
        <f t="shared" si="18"/>
        <v>599000000</v>
      </c>
      <c r="N27" s="230">
        <f t="shared" si="19"/>
        <v>181000000</v>
      </c>
      <c r="O27" s="231">
        <f t="shared" si="20"/>
        <v>418000000</v>
      </c>
      <c r="P27" s="232">
        <f t="shared" si="39"/>
        <v>30000000</v>
      </c>
      <c r="Q27" s="233">
        <f t="shared" si="21"/>
        <v>388000000</v>
      </c>
      <c r="R27" s="659">
        <f t="shared" si="22"/>
        <v>330000000</v>
      </c>
      <c r="S27" s="656">
        <f t="shared" si="40"/>
        <v>58000000</v>
      </c>
      <c r="T27" s="234">
        <f t="shared" si="23"/>
        <v>88000000</v>
      </c>
      <c r="U27" s="124">
        <f t="shared" si="24"/>
        <v>7.2068965517241379</v>
      </c>
      <c r="V27" s="124">
        <f t="shared" si="25"/>
        <v>0.69412255492722719</v>
      </c>
      <c r="X27" s="379">
        <f t="shared" si="26"/>
        <v>599000000</v>
      </c>
      <c r="Y27" s="235">
        <v>12000000</v>
      </c>
      <c r="Z27" s="19">
        <v>5000000</v>
      </c>
      <c r="AA27" s="236">
        <f t="shared" si="43"/>
        <v>-220000000</v>
      </c>
      <c r="AB27" s="237">
        <f t="shared" si="27"/>
        <v>396000000</v>
      </c>
      <c r="AD27" s="238">
        <f t="shared" si="4"/>
        <v>236000000</v>
      </c>
      <c r="AE27" s="238">
        <f t="shared" si="28"/>
        <v>160000000</v>
      </c>
      <c r="AF27" s="17"/>
      <c r="AG27" s="239">
        <f t="shared" si="5"/>
        <v>131555555.55555555</v>
      </c>
      <c r="AH27" s="240">
        <f t="shared" si="29"/>
        <v>36835555.555555552</v>
      </c>
      <c r="AI27" s="240">
        <f t="shared" si="30"/>
        <v>47360000</v>
      </c>
      <c r="AJ27" s="241">
        <f t="shared" si="31"/>
        <v>47360000</v>
      </c>
      <c r="AL27" s="239">
        <f t="shared" si="44"/>
        <v>28444444.444444448</v>
      </c>
      <c r="AM27" s="17">
        <f t="shared" si="6"/>
        <v>14506666.666666668</v>
      </c>
      <c r="AN27" s="17">
        <f t="shared" si="32"/>
        <v>6968888.8888888899</v>
      </c>
      <c r="AO27" s="233">
        <f t="shared" si="33"/>
        <v>6968888.8888888899</v>
      </c>
      <c r="AQ27" s="242">
        <f t="shared" si="7"/>
        <v>287342222.22222227</v>
      </c>
      <c r="AR27" s="17">
        <f t="shared" si="8"/>
        <v>54328888.888888888</v>
      </c>
      <c r="AS27" s="233">
        <f t="shared" si="8"/>
        <v>54328888.888888888</v>
      </c>
      <c r="AU27" s="260">
        <f t="shared" si="45"/>
        <v>9.740414312617704E-2</v>
      </c>
      <c r="AW27" s="244">
        <f t="shared" si="9"/>
        <v>0.23205128205128206</v>
      </c>
      <c r="AY27" s="238">
        <f>AR27-R27</f>
        <v>-275671111.1111111</v>
      </c>
      <c r="BA27" s="19">
        <f t="shared" si="34"/>
        <v>88000000</v>
      </c>
      <c r="BB27" s="19">
        <f t="shared" si="35"/>
        <v>57200000</v>
      </c>
      <c r="BC27" s="19">
        <f t="shared" si="10"/>
        <v>10120000</v>
      </c>
      <c r="BD27" s="19">
        <f t="shared" si="11"/>
        <v>440000</v>
      </c>
      <c r="BE27" s="19">
        <f t="shared" si="36"/>
        <v>20240000</v>
      </c>
    </row>
    <row r="28" spans="1:57">
      <c r="A28" s="8" t="s">
        <v>206</v>
      </c>
      <c r="B28" s="1">
        <v>2029</v>
      </c>
      <c r="C28" s="261">
        <v>1.0699999999999999E-2</v>
      </c>
      <c r="D28" s="246">
        <f t="shared" si="12"/>
        <v>623000000</v>
      </c>
      <c r="E28" s="344">
        <f t="shared" si="13"/>
        <v>872200000</v>
      </c>
      <c r="F28" s="676">
        <f t="shared" si="37"/>
        <v>58000000</v>
      </c>
      <c r="G28" s="16">
        <f t="shared" si="38"/>
        <v>716450000</v>
      </c>
      <c r="H28" s="19">
        <f t="shared" si="42"/>
        <v>515844000</v>
      </c>
      <c r="I28" s="16">
        <f t="shared" si="14"/>
        <v>155750000</v>
      </c>
      <c r="J28" s="19">
        <f t="shared" si="15"/>
        <v>89712000</v>
      </c>
      <c r="K28" s="16">
        <f t="shared" si="16"/>
        <v>0</v>
      </c>
      <c r="L28" s="25">
        <f t="shared" si="17"/>
        <v>0</v>
      </c>
      <c r="M28" s="229">
        <f t="shared" si="18"/>
        <v>606000000</v>
      </c>
      <c r="N28" s="230">
        <f t="shared" si="19"/>
        <v>183000000</v>
      </c>
      <c r="O28" s="231">
        <f t="shared" si="20"/>
        <v>423000000</v>
      </c>
      <c r="P28" s="232">
        <f t="shared" si="39"/>
        <v>30000000</v>
      </c>
      <c r="Q28" s="233">
        <f t="shared" si="21"/>
        <v>393000000</v>
      </c>
      <c r="R28" s="659">
        <f t="shared" si="22"/>
        <v>334000000</v>
      </c>
      <c r="S28" s="656">
        <f t="shared" si="40"/>
        <v>59000000</v>
      </c>
      <c r="T28" s="234">
        <f t="shared" si="23"/>
        <v>89000000</v>
      </c>
      <c r="U28" s="124">
        <f t="shared" si="24"/>
        <v>7.2931034482758621</v>
      </c>
      <c r="V28" s="124">
        <f t="shared" si="25"/>
        <v>0.69479477184132077</v>
      </c>
      <c r="X28" s="379">
        <f t="shared" si="26"/>
        <v>606000000</v>
      </c>
      <c r="Y28" s="235">
        <v>12000000</v>
      </c>
      <c r="Z28" s="19">
        <v>5000000</v>
      </c>
      <c r="AA28" s="236">
        <f t="shared" si="43"/>
        <v>-220000000</v>
      </c>
      <c r="AB28" s="237">
        <f t="shared" si="27"/>
        <v>403000000</v>
      </c>
      <c r="AD28" s="238">
        <f t="shared" si="4"/>
        <v>236000000</v>
      </c>
      <c r="AE28" s="238">
        <f t="shared" si="28"/>
        <v>167000000</v>
      </c>
      <c r="AF28" s="17"/>
      <c r="AG28" s="239">
        <f t="shared" si="5"/>
        <v>131555555.55555555</v>
      </c>
      <c r="AH28" s="240">
        <f t="shared" si="29"/>
        <v>36835555.555555552</v>
      </c>
      <c r="AI28" s="240">
        <f t="shared" si="30"/>
        <v>47360000</v>
      </c>
      <c r="AJ28" s="241">
        <f t="shared" si="31"/>
        <v>47360000</v>
      </c>
      <c r="AL28" s="239">
        <f t="shared" si="44"/>
        <v>35444444.444444448</v>
      </c>
      <c r="AM28" s="17">
        <f t="shared" si="6"/>
        <v>18076666.666666668</v>
      </c>
      <c r="AN28" s="17">
        <f t="shared" si="32"/>
        <v>8683888.8888888899</v>
      </c>
      <c r="AO28" s="233">
        <f t="shared" si="33"/>
        <v>8683888.8888888899</v>
      </c>
      <c r="AQ28" s="242">
        <f t="shared" si="7"/>
        <v>290912222.22222227</v>
      </c>
      <c r="AR28" s="17">
        <f t="shared" si="8"/>
        <v>56043888.888888888</v>
      </c>
      <c r="AS28" s="233">
        <f t="shared" si="8"/>
        <v>56043888.888888888</v>
      </c>
      <c r="AU28" s="260">
        <f t="shared" si="45"/>
        <v>9.8614312617702468E-2</v>
      </c>
      <c r="AW28" s="244">
        <f t="shared" si="9"/>
        <v>0.23193916349809887</v>
      </c>
      <c r="AY28" s="238">
        <f t="shared" si="41"/>
        <v>-277956111.1111111</v>
      </c>
      <c r="BA28" s="19">
        <f t="shared" si="34"/>
        <v>89000000</v>
      </c>
      <c r="BB28" s="19">
        <f t="shared" si="35"/>
        <v>57850000</v>
      </c>
      <c r="BC28" s="19">
        <f t="shared" si="10"/>
        <v>10235000</v>
      </c>
      <c r="BD28" s="19">
        <f t="shared" si="11"/>
        <v>445000</v>
      </c>
      <c r="BE28" s="19">
        <f t="shared" si="36"/>
        <v>20470000</v>
      </c>
    </row>
    <row r="29" spans="1:57">
      <c r="A29" s="8" t="s">
        <v>207</v>
      </c>
      <c r="B29" s="1">
        <v>2030</v>
      </c>
      <c r="C29" s="261">
        <v>8.2000000000000007E-3</v>
      </c>
      <c r="D29" s="246">
        <f t="shared" si="12"/>
        <v>628100000</v>
      </c>
      <c r="E29" s="344">
        <f t="shared" si="13"/>
        <v>879340000</v>
      </c>
      <c r="F29" s="676">
        <f t="shared" si="37"/>
        <v>59000000</v>
      </c>
      <c r="G29" s="16">
        <f t="shared" si="38"/>
        <v>722315000</v>
      </c>
      <c r="H29" s="19">
        <f t="shared" si="42"/>
        <v>520066800</v>
      </c>
      <c r="I29" s="16">
        <f t="shared" si="14"/>
        <v>157025000</v>
      </c>
      <c r="J29" s="19">
        <f t="shared" si="15"/>
        <v>90446400</v>
      </c>
      <c r="K29" s="16">
        <f t="shared" si="16"/>
        <v>0</v>
      </c>
      <c r="L29" s="25">
        <f t="shared" si="17"/>
        <v>0</v>
      </c>
      <c r="M29" s="229">
        <f t="shared" si="18"/>
        <v>611000000</v>
      </c>
      <c r="N29" s="230">
        <f t="shared" si="19"/>
        <v>185000000</v>
      </c>
      <c r="O29" s="231">
        <f t="shared" si="20"/>
        <v>426000000</v>
      </c>
      <c r="P29" s="232">
        <f t="shared" si="39"/>
        <v>30000000</v>
      </c>
      <c r="Q29" s="233">
        <f t="shared" si="21"/>
        <v>396000000</v>
      </c>
      <c r="R29" s="659">
        <f t="shared" si="22"/>
        <v>337000000</v>
      </c>
      <c r="S29" s="656">
        <f t="shared" si="40"/>
        <v>59000000</v>
      </c>
      <c r="T29" s="234">
        <f t="shared" si="23"/>
        <v>89000000</v>
      </c>
      <c r="U29" s="124">
        <f t="shared" si="24"/>
        <v>7.2203389830508478</v>
      </c>
      <c r="V29" s="124">
        <f t="shared" si="25"/>
        <v>0.6948393113016581</v>
      </c>
      <c r="X29" s="379">
        <f t="shared" si="26"/>
        <v>611000000</v>
      </c>
      <c r="Y29" s="235">
        <v>12000000</v>
      </c>
      <c r="Z29" s="19">
        <v>5000000</v>
      </c>
      <c r="AA29" s="236">
        <f t="shared" si="43"/>
        <v>-220000000</v>
      </c>
      <c r="AB29" s="237">
        <f t="shared" si="27"/>
        <v>408000000</v>
      </c>
      <c r="AD29" s="238">
        <f t="shared" si="4"/>
        <v>236000000</v>
      </c>
      <c r="AE29" s="238">
        <f t="shared" si="28"/>
        <v>172000000</v>
      </c>
      <c r="AF29" s="17"/>
      <c r="AG29" s="239">
        <f t="shared" si="5"/>
        <v>131555555.55555555</v>
      </c>
      <c r="AH29" s="240">
        <f t="shared" si="29"/>
        <v>36835555.555555552</v>
      </c>
      <c r="AI29" s="240">
        <f t="shared" si="30"/>
        <v>47360000</v>
      </c>
      <c r="AJ29" s="241">
        <f t="shared" si="31"/>
        <v>47360000</v>
      </c>
      <c r="AL29" s="239">
        <f t="shared" si="44"/>
        <v>40444444.444444448</v>
      </c>
      <c r="AM29" s="17">
        <f t="shared" si="6"/>
        <v>20626666.666666668</v>
      </c>
      <c r="AN29" s="17">
        <f t="shared" si="32"/>
        <v>9908888.8888888899</v>
      </c>
      <c r="AO29" s="233">
        <f t="shared" si="33"/>
        <v>9908888.8888888899</v>
      </c>
      <c r="AQ29" s="242">
        <f t="shared" si="7"/>
        <v>293462222.22222227</v>
      </c>
      <c r="AR29" s="17">
        <f t="shared" si="8"/>
        <v>57268888.888888888</v>
      </c>
      <c r="AS29" s="233">
        <f t="shared" si="8"/>
        <v>57268888.888888888</v>
      </c>
      <c r="AU29" s="260">
        <f t="shared" si="45"/>
        <v>9.9478719397363483E-2</v>
      </c>
      <c r="AW29" s="244">
        <f t="shared" si="9"/>
        <v>0.23241206030150754</v>
      </c>
      <c r="AY29" s="238">
        <f t="shared" si="41"/>
        <v>-279731111.1111111</v>
      </c>
      <c r="BA29" s="19">
        <f t="shared" si="34"/>
        <v>89000000</v>
      </c>
      <c r="BB29" s="19">
        <f t="shared" si="35"/>
        <v>57850000</v>
      </c>
      <c r="BC29" s="19">
        <f t="shared" si="10"/>
        <v>10235000</v>
      </c>
      <c r="BD29" s="19">
        <f t="shared" si="11"/>
        <v>445000</v>
      </c>
      <c r="BE29" s="19">
        <f t="shared" si="36"/>
        <v>20470000</v>
      </c>
    </row>
    <row r="30" spans="1:57">
      <c r="A30" s="8" t="s">
        <v>208</v>
      </c>
      <c r="B30" s="4">
        <v>2031</v>
      </c>
      <c r="C30" s="261">
        <v>7.1999999999999998E-3</v>
      </c>
      <c r="D30" s="246">
        <f t="shared" si="12"/>
        <v>632600000</v>
      </c>
      <c r="E30" s="344">
        <f t="shared" si="13"/>
        <v>885640000</v>
      </c>
      <c r="F30" s="676">
        <f t="shared" si="37"/>
        <v>59000000</v>
      </c>
      <c r="G30" s="16">
        <f t="shared" si="38"/>
        <v>727490000</v>
      </c>
      <c r="H30" s="19">
        <f t="shared" si="42"/>
        <v>523792800</v>
      </c>
      <c r="I30" s="16">
        <f t="shared" si="14"/>
        <v>158150000</v>
      </c>
      <c r="J30" s="19">
        <f t="shared" si="15"/>
        <v>91094400</v>
      </c>
      <c r="K30" s="16">
        <f t="shared" si="16"/>
        <v>0</v>
      </c>
      <c r="L30" s="25">
        <f t="shared" si="17"/>
        <v>0</v>
      </c>
      <c r="M30" s="479">
        <f t="shared" si="18"/>
        <v>615000000</v>
      </c>
      <c r="N30" s="651">
        <f t="shared" si="19"/>
        <v>186000000</v>
      </c>
      <c r="O30" s="231">
        <f t="shared" si="20"/>
        <v>429000000</v>
      </c>
      <c r="P30" s="232">
        <f t="shared" si="39"/>
        <v>30000000</v>
      </c>
      <c r="Q30" s="233">
        <f t="shared" si="21"/>
        <v>399000000</v>
      </c>
      <c r="R30" s="661">
        <f>ROUND(Q30*0.85,-6)</f>
        <v>339000000</v>
      </c>
      <c r="S30" s="656">
        <f t="shared" si="40"/>
        <v>60000000</v>
      </c>
      <c r="T30" s="234">
        <f t="shared" si="23"/>
        <v>90000000</v>
      </c>
      <c r="U30" s="124">
        <f t="shared" si="24"/>
        <v>7.2711864406779663</v>
      </c>
      <c r="V30" s="124">
        <f t="shared" si="25"/>
        <v>0.69441307980669342</v>
      </c>
      <c r="X30" s="379">
        <f t="shared" si="26"/>
        <v>615000000</v>
      </c>
      <c r="Y30" s="235">
        <v>12000000</v>
      </c>
      <c r="Z30" s="19">
        <v>5000000</v>
      </c>
      <c r="AA30" s="236">
        <f t="shared" si="43"/>
        <v>-220000000</v>
      </c>
      <c r="AB30" s="237">
        <f t="shared" si="27"/>
        <v>412000000</v>
      </c>
      <c r="AD30" s="238">
        <f t="shared" si="4"/>
        <v>236000000</v>
      </c>
      <c r="AE30" s="238">
        <f t="shared" si="28"/>
        <v>176000000</v>
      </c>
      <c r="AF30" s="17"/>
      <c r="AG30" s="239">
        <f t="shared" si="5"/>
        <v>131555555.55555555</v>
      </c>
      <c r="AH30" s="240">
        <f t="shared" si="29"/>
        <v>36835555.555555552</v>
      </c>
      <c r="AI30" s="240">
        <f t="shared" si="30"/>
        <v>47360000</v>
      </c>
      <c r="AJ30" s="241">
        <f t="shared" si="31"/>
        <v>47360000</v>
      </c>
      <c r="AL30" s="239">
        <f t="shared" si="44"/>
        <v>44444444.444444448</v>
      </c>
      <c r="AM30" s="17">
        <f t="shared" si="6"/>
        <v>22666666.666666668</v>
      </c>
      <c r="AN30" s="17">
        <f t="shared" si="32"/>
        <v>10888888.88888889</v>
      </c>
      <c r="AO30" s="233">
        <f t="shared" si="33"/>
        <v>10888888.88888889</v>
      </c>
      <c r="AQ30" s="242">
        <f t="shared" si="7"/>
        <v>295502222.22222227</v>
      </c>
      <c r="AR30" s="464">
        <f t="shared" si="8"/>
        <v>58248888.888888888</v>
      </c>
      <c r="AS30" s="233">
        <f t="shared" si="8"/>
        <v>58248888.888888888</v>
      </c>
      <c r="AU30" s="260">
        <f>AQ30/AH$9</f>
        <v>0.1001702448210923</v>
      </c>
      <c r="AW30" s="244">
        <f t="shared" si="9"/>
        <v>0.23220973782771537</v>
      </c>
      <c r="AY30" s="238">
        <f t="shared" si="41"/>
        <v>-280751111.1111111</v>
      </c>
      <c r="BA30" s="19">
        <f t="shared" si="34"/>
        <v>90000000</v>
      </c>
      <c r="BB30" s="19">
        <f t="shared" si="35"/>
        <v>58500000</v>
      </c>
      <c r="BC30" s="19">
        <f t="shared" si="10"/>
        <v>10350000</v>
      </c>
      <c r="BD30" s="19">
        <f t="shared" si="11"/>
        <v>450000</v>
      </c>
      <c r="BE30" s="19">
        <f t="shared" si="36"/>
        <v>20700000</v>
      </c>
    </row>
    <row r="31" spans="1:57">
      <c r="A31" s="8" t="s">
        <v>209</v>
      </c>
      <c r="B31" s="1">
        <v>2032</v>
      </c>
      <c r="C31" s="261">
        <v>5.4000000000000003E-3</v>
      </c>
      <c r="D31" s="246">
        <f t="shared" si="12"/>
        <v>636000000</v>
      </c>
      <c r="E31" s="344">
        <f t="shared" si="13"/>
        <v>890400000</v>
      </c>
      <c r="F31" s="676">
        <f t="shared" si="37"/>
        <v>59000000</v>
      </c>
      <c r="G31" s="16">
        <f t="shared" si="38"/>
        <v>731400000</v>
      </c>
      <c r="H31" s="19">
        <f t="shared" si="42"/>
        <v>526608000</v>
      </c>
      <c r="I31" s="16">
        <f t="shared" si="14"/>
        <v>159000000</v>
      </c>
      <c r="J31" s="19">
        <f t="shared" si="15"/>
        <v>91584000</v>
      </c>
      <c r="K31" s="16">
        <f t="shared" si="16"/>
        <v>0</v>
      </c>
      <c r="L31" s="25">
        <f t="shared" si="17"/>
        <v>0</v>
      </c>
      <c r="M31" s="229">
        <f t="shared" si="18"/>
        <v>618000000</v>
      </c>
      <c r="N31" s="230">
        <f t="shared" si="19"/>
        <v>187000000</v>
      </c>
      <c r="O31" s="231">
        <f t="shared" si="20"/>
        <v>431000000</v>
      </c>
      <c r="P31" s="232">
        <f t="shared" si="39"/>
        <v>30000000</v>
      </c>
      <c r="Q31" s="233">
        <f t="shared" si="21"/>
        <v>401000000</v>
      </c>
      <c r="R31" s="659">
        <f t="shared" si="22"/>
        <v>341000000</v>
      </c>
      <c r="S31" s="656">
        <f t="shared" si="40"/>
        <v>60000000</v>
      </c>
      <c r="T31" s="234">
        <f t="shared" si="23"/>
        <v>90000000</v>
      </c>
      <c r="U31" s="124">
        <f t="shared" si="24"/>
        <v>7.3050847457627119</v>
      </c>
      <c r="V31" s="124">
        <f t="shared" si="25"/>
        <v>0.69407008086253374</v>
      </c>
      <c r="X31" s="379">
        <f t="shared" si="26"/>
        <v>618000000</v>
      </c>
      <c r="Y31" s="235">
        <v>12000000</v>
      </c>
      <c r="Z31" s="19">
        <v>5000000</v>
      </c>
      <c r="AA31" s="236">
        <f t="shared" si="43"/>
        <v>-220000000</v>
      </c>
      <c r="AB31" s="237">
        <f t="shared" si="27"/>
        <v>415000000</v>
      </c>
      <c r="AD31" s="238">
        <f t="shared" si="4"/>
        <v>236000000</v>
      </c>
      <c r="AE31" s="238">
        <f t="shared" si="28"/>
        <v>179000000</v>
      </c>
      <c r="AF31" s="17"/>
      <c r="AG31" s="239">
        <f t="shared" si="5"/>
        <v>131555555.55555555</v>
      </c>
      <c r="AH31" s="240">
        <f t="shared" si="29"/>
        <v>36835555.555555552</v>
      </c>
      <c r="AI31" s="240">
        <f t="shared" si="30"/>
        <v>47360000</v>
      </c>
      <c r="AJ31" s="241">
        <f t="shared" si="31"/>
        <v>47360000</v>
      </c>
      <c r="AL31" s="239">
        <f t="shared" si="44"/>
        <v>47444444.444444448</v>
      </c>
      <c r="AM31" s="17">
        <f t="shared" si="6"/>
        <v>24196666.666666668</v>
      </c>
      <c r="AN31" s="17">
        <f t="shared" si="32"/>
        <v>11623888.88888889</v>
      </c>
      <c r="AO31" s="233">
        <f t="shared" si="33"/>
        <v>11623888.88888889</v>
      </c>
      <c r="AQ31" s="242">
        <f t="shared" si="7"/>
        <v>297032222.22222227</v>
      </c>
      <c r="AR31" s="17">
        <f t="shared" si="8"/>
        <v>58983888.888888888</v>
      </c>
      <c r="AS31" s="233">
        <f t="shared" si="8"/>
        <v>58983888.888888888</v>
      </c>
      <c r="AU31" s="260">
        <f t="shared" si="45"/>
        <v>0.10068888888888891</v>
      </c>
      <c r="AW31" s="244">
        <f t="shared" si="9"/>
        <v>0.23229813664596274</v>
      </c>
      <c r="AY31" s="238">
        <f t="shared" si="41"/>
        <v>-282016111.1111111</v>
      </c>
      <c r="BA31" s="19">
        <f t="shared" si="34"/>
        <v>90000000</v>
      </c>
      <c r="BB31" s="19">
        <f t="shared" si="35"/>
        <v>58500000</v>
      </c>
      <c r="BC31" s="19">
        <f t="shared" si="10"/>
        <v>10350000</v>
      </c>
      <c r="BD31" s="19">
        <f t="shared" si="11"/>
        <v>450000</v>
      </c>
      <c r="BE31" s="19">
        <f t="shared" si="36"/>
        <v>20700000</v>
      </c>
    </row>
    <row r="32" spans="1:57">
      <c r="A32" s="8" t="s">
        <v>210</v>
      </c>
      <c r="B32" s="1">
        <v>2033</v>
      </c>
      <c r="C32" s="261">
        <v>5.45E-3</v>
      </c>
      <c r="D32" s="246">
        <f t="shared" si="12"/>
        <v>639500000</v>
      </c>
      <c r="E32" s="344">
        <f t="shared" si="13"/>
        <v>895300000</v>
      </c>
      <c r="F32" s="676">
        <f t="shared" si="37"/>
        <v>60000000</v>
      </c>
      <c r="G32" s="16">
        <f t="shared" si="38"/>
        <v>735425000</v>
      </c>
      <c r="H32" s="19">
        <f t="shared" si="42"/>
        <v>529506000</v>
      </c>
      <c r="I32" s="16">
        <f t="shared" si="14"/>
        <v>159875000</v>
      </c>
      <c r="J32" s="19">
        <f t="shared" si="15"/>
        <v>92088000</v>
      </c>
      <c r="K32" s="16">
        <f t="shared" si="16"/>
        <v>0</v>
      </c>
      <c r="L32" s="25">
        <f t="shared" si="17"/>
        <v>0</v>
      </c>
      <c r="M32" s="229">
        <f t="shared" si="18"/>
        <v>622000000</v>
      </c>
      <c r="N32" s="230">
        <f t="shared" si="19"/>
        <v>188000000</v>
      </c>
      <c r="O32" s="231">
        <f t="shared" si="20"/>
        <v>434000000</v>
      </c>
      <c r="P32" s="232">
        <f t="shared" si="39"/>
        <v>30000000</v>
      </c>
      <c r="Q32" s="233">
        <f t="shared" si="21"/>
        <v>404000000</v>
      </c>
      <c r="R32" s="659">
        <f t="shared" si="22"/>
        <v>343000000</v>
      </c>
      <c r="S32" s="656">
        <f t="shared" si="40"/>
        <v>61000000</v>
      </c>
      <c r="T32" s="234">
        <f t="shared" si="23"/>
        <v>91000000</v>
      </c>
      <c r="U32" s="124">
        <f t="shared" si="24"/>
        <v>7.2333333333333334</v>
      </c>
      <c r="V32" s="124">
        <f t="shared" si="25"/>
        <v>0.69473919356640235</v>
      </c>
      <c r="X32" s="379">
        <f t="shared" si="26"/>
        <v>622000000</v>
      </c>
      <c r="Y32" s="235">
        <v>12000000</v>
      </c>
      <c r="Z32" s="19">
        <v>5000000</v>
      </c>
      <c r="AA32" s="236">
        <f t="shared" si="43"/>
        <v>-220000000</v>
      </c>
      <c r="AB32" s="237">
        <f t="shared" si="27"/>
        <v>419000000</v>
      </c>
      <c r="AD32" s="238">
        <f t="shared" si="4"/>
        <v>236000000</v>
      </c>
      <c r="AE32" s="238">
        <f t="shared" si="28"/>
        <v>183000000</v>
      </c>
      <c r="AF32" s="17"/>
      <c r="AG32" s="239">
        <f t="shared" si="5"/>
        <v>131555555.55555555</v>
      </c>
      <c r="AH32" s="240">
        <f t="shared" si="29"/>
        <v>36835555.555555552</v>
      </c>
      <c r="AI32" s="240">
        <f t="shared" si="30"/>
        <v>47360000</v>
      </c>
      <c r="AJ32" s="241">
        <f t="shared" si="31"/>
        <v>47360000</v>
      </c>
      <c r="AL32" s="239">
        <f t="shared" si="44"/>
        <v>51444444.444444448</v>
      </c>
      <c r="AM32" s="17">
        <f t="shared" si="6"/>
        <v>26236666.666666668</v>
      </c>
      <c r="AN32" s="17">
        <f t="shared" si="32"/>
        <v>12603888.88888889</v>
      </c>
      <c r="AO32" s="233">
        <f t="shared" si="33"/>
        <v>12603888.88888889</v>
      </c>
      <c r="AQ32" s="242">
        <f t="shared" si="7"/>
        <v>299072222.22222227</v>
      </c>
      <c r="AR32" s="17">
        <f t="shared" si="8"/>
        <v>59963888.888888888</v>
      </c>
      <c r="AS32" s="233">
        <f t="shared" si="8"/>
        <v>59963888.888888888</v>
      </c>
      <c r="AU32" s="260">
        <f t="shared" si="45"/>
        <v>0.10138041431261771</v>
      </c>
      <c r="AW32" s="244">
        <f t="shared" si="9"/>
        <v>0.23209876543209876</v>
      </c>
      <c r="AY32" s="238">
        <f t="shared" si="41"/>
        <v>-283036111.1111111</v>
      </c>
      <c r="BA32" s="19">
        <f t="shared" si="34"/>
        <v>91000000</v>
      </c>
      <c r="BB32" s="19">
        <f t="shared" si="35"/>
        <v>59150000</v>
      </c>
      <c r="BC32" s="19">
        <f t="shared" si="10"/>
        <v>10465000</v>
      </c>
      <c r="BD32" s="19">
        <f t="shared" si="11"/>
        <v>455000</v>
      </c>
      <c r="BE32" s="19">
        <f t="shared" si="36"/>
        <v>20930000</v>
      </c>
    </row>
    <row r="33" spans="1:57">
      <c r="A33" s="8" t="s">
        <v>211</v>
      </c>
      <c r="B33" s="1">
        <v>2034</v>
      </c>
      <c r="C33" s="261">
        <v>5.3499999999999997E-3</v>
      </c>
      <c r="D33" s="246">
        <f t="shared" si="12"/>
        <v>642900000</v>
      </c>
      <c r="E33" s="344">
        <f t="shared" si="13"/>
        <v>900060000</v>
      </c>
      <c r="F33" s="676">
        <f t="shared" si="37"/>
        <v>60000000</v>
      </c>
      <c r="G33" s="16">
        <f t="shared" si="38"/>
        <v>739335000</v>
      </c>
      <c r="H33" s="19">
        <f t="shared" si="42"/>
        <v>532321200</v>
      </c>
      <c r="I33" s="16">
        <f t="shared" si="14"/>
        <v>160725000</v>
      </c>
      <c r="J33" s="19">
        <f t="shared" si="15"/>
        <v>92577600</v>
      </c>
      <c r="K33" s="16">
        <f>IF(E33&gt;D33*1.4,E33-D33*1.4,0)</f>
        <v>0</v>
      </c>
      <c r="L33" s="25">
        <f t="shared" si="17"/>
        <v>0</v>
      </c>
      <c r="M33" s="229">
        <f t="shared" si="18"/>
        <v>625000000</v>
      </c>
      <c r="N33" s="230">
        <f t="shared" si="19"/>
        <v>189000000</v>
      </c>
      <c r="O33" s="231">
        <f t="shared" si="20"/>
        <v>436000000</v>
      </c>
      <c r="P33" s="232">
        <f t="shared" si="39"/>
        <v>30000000</v>
      </c>
      <c r="Q33" s="233">
        <f t="shared" si="21"/>
        <v>406000000</v>
      </c>
      <c r="R33" s="659">
        <f t="shared" si="22"/>
        <v>345000000</v>
      </c>
      <c r="S33" s="656">
        <f t="shared" si="40"/>
        <v>61000000</v>
      </c>
      <c r="T33" s="234">
        <f t="shared" si="23"/>
        <v>91000000</v>
      </c>
      <c r="U33" s="124">
        <f t="shared" si="24"/>
        <v>7.2666666666666666</v>
      </c>
      <c r="V33" s="124">
        <f t="shared" si="25"/>
        <v>0.6943981512343621</v>
      </c>
      <c r="X33" s="379">
        <f t="shared" si="26"/>
        <v>625000000</v>
      </c>
      <c r="Y33" s="235">
        <v>12000000</v>
      </c>
      <c r="Z33" s="19">
        <v>5000000</v>
      </c>
      <c r="AA33" s="236">
        <f t="shared" si="43"/>
        <v>-220000000</v>
      </c>
      <c r="AB33" s="237">
        <f t="shared" si="27"/>
        <v>422000000</v>
      </c>
      <c r="AD33" s="238">
        <f t="shared" si="4"/>
        <v>236000000</v>
      </c>
      <c r="AE33" s="238">
        <f t="shared" si="28"/>
        <v>186000000</v>
      </c>
      <c r="AF33" s="17"/>
      <c r="AG33" s="239">
        <f t="shared" si="5"/>
        <v>131555555.55555555</v>
      </c>
      <c r="AH33" s="240">
        <f t="shared" si="29"/>
        <v>36835555.555555552</v>
      </c>
      <c r="AI33" s="240">
        <f t="shared" si="30"/>
        <v>47360000</v>
      </c>
      <c r="AJ33" s="241">
        <f t="shared" si="31"/>
        <v>47360000</v>
      </c>
      <c r="AL33" s="239">
        <f t="shared" si="44"/>
        <v>54444444.444444448</v>
      </c>
      <c r="AM33" s="17">
        <f t="shared" si="6"/>
        <v>27766666.666666668</v>
      </c>
      <c r="AN33" s="17">
        <f t="shared" si="32"/>
        <v>13338888.88888889</v>
      </c>
      <c r="AO33" s="233">
        <f t="shared" si="33"/>
        <v>13338888.88888889</v>
      </c>
      <c r="AQ33" s="242">
        <f t="shared" si="7"/>
        <v>300602222.22222227</v>
      </c>
      <c r="AR33" s="17">
        <f t="shared" si="8"/>
        <v>60698888.888888888</v>
      </c>
      <c r="AS33" s="233">
        <f t="shared" si="8"/>
        <v>60698888.888888888</v>
      </c>
      <c r="AU33" s="260">
        <f t="shared" si="45"/>
        <v>0.10189905838041433</v>
      </c>
      <c r="AW33" s="244">
        <f t="shared" si="9"/>
        <v>0.23218673218673219</v>
      </c>
      <c r="AY33" s="238">
        <f t="shared" si="41"/>
        <v>-284301111.1111111</v>
      </c>
      <c r="BA33" s="19">
        <f t="shared" si="34"/>
        <v>91000000</v>
      </c>
      <c r="BB33" s="19">
        <f t="shared" si="35"/>
        <v>59150000</v>
      </c>
      <c r="BC33" s="19">
        <f t="shared" si="10"/>
        <v>10465000</v>
      </c>
      <c r="BD33" s="19">
        <f t="shared" si="11"/>
        <v>455000</v>
      </c>
      <c r="BE33" s="19">
        <f t="shared" si="36"/>
        <v>20930000</v>
      </c>
    </row>
    <row r="34" spans="1:57" ht="16" thickBot="1">
      <c r="A34" s="36" t="s">
        <v>212</v>
      </c>
      <c r="B34" s="444">
        <v>2035</v>
      </c>
      <c r="C34" s="445">
        <v>5.4000000000000003E-3</v>
      </c>
      <c r="D34" s="446">
        <f t="shared" si="12"/>
        <v>646400000</v>
      </c>
      <c r="E34" s="447">
        <f t="shared" si="13"/>
        <v>904960000</v>
      </c>
      <c r="F34" s="689">
        <f t="shared" si="37"/>
        <v>60000000</v>
      </c>
      <c r="G34" s="137">
        <f t="shared" si="38"/>
        <v>743360000</v>
      </c>
      <c r="H34" s="448">
        <f t="shared" si="42"/>
        <v>535219200</v>
      </c>
      <c r="I34" s="137">
        <f t="shared" si="14"/>
        <v>161600000</v>
      </c>
      <c r="J34" s="448">
        <f t="shared" si="15"/>
        <v>93081600</v>
      </c>
      <c r="K34" s="137">
        <f t="shared" si="16"/>
        <v>0</v>
      </c>
      <c r="L34" s="449">
        <f t="shared" si="17"/>
        <v>0</v>
      </c>
      <c r="M34" s="450">
        <f t="shared" si="18"/>
        <v>628000000</v>
      </c>
      <c r="N34" s="690">
        <f t="shared" si="19"/>
        <v>190000000</v>
      </c>
      <c r="O34" s="451">
        <f t="shared" si="20"/>
        <v>438000000</v>
      </c>
      <c r="P34" s="452">
        <f t="shared" si="39"/>
        <v>30000000</v>
      </c>
      <c r="Q34" s="453">
        <f t="shared" si="21"/>
        <v>408000000</v>
      </c>
      <c r="R34" s="662">
        <f t="shared" si="22"/>
        <v>347000000</v>
      </c>
      <c r="S34" s="663">
        <f>ROUND(Q34*0.15,-6)</f>
        <v>61000000</v>
      </c>
      <c r="T34" s="454">
        <f t="shared" si="23"/>
        <v>91000000</v>
      </c>
      <c r="U34" s="124">
        <f t="shared" si="24"/>
        <v>7.3</v>
      </c>
      <c r="V34" s="124">
        <f t="shared" si="25"/>
        <v>0.69395332390381892</v>
      </c>
      <c r="W34" s="144"/>
      <c r="X34" s="455">
        <f t="shared" si="26"/>
        <v>628000000</v>
      </c>
      <c r="Y34" s="456">
        <v>12000000</v>
      </c>
      <c r="Z34" s="19">
        <v>5000000</v>
      </c>
      <c r="AA34" s="457">
        <f t="shared" si="43"/>
        <v>-220000000</v>
      </c>
      <c r="AB34" s="458">
        <f t="shared" si="27"/>
        <v>425000000</v>
      </c>
      <c r="AC34" s="144"/>
      <c r="AD34" s="459">
        <f t="shared" si="4"/>
        <v>236000000</v>
      </c>
      <c r="AE34" s="459">
        <f t="shared" si="28"/>
        <v>189000000</v>
      </c>
      <c r="AF34" s="448"/>
      <c r="AG34" s="460">
        <f t="shared" si="5"/>
        <v>131555555.55555555</v>
      </c>
      <c r="AH34" s="461">
        <f t="shared" si="29"/>
        <v>36835555.555555552</v>
      </c>
      <c r="AI34" s="461">
        <f t="shared" si="30"/>
        <v>47360000</v>
      </c>
      <c r="AJ34" s="462">
        <f t="shared" si="31"/>
        <v>47360000</v>
      </c>
      <c r="AK34" s="144"/>
      <c r="AL34" s="460">
        <f t="shared" si="44"/>
        <v>57444444.444444448</v>
      </c>
      <c r="AM34" s="448">
        <f t="shared" si="6"/>
        <v>29296666.666666668</v>
      </c>
      <c r="AN34" s="448">
        <f t="shared" si="32"/>
        <v>14073888.88888889</v>
      </c>
      <c r="AO34" s="453">
        <f t="shared" si="33"/>
        <v>14073888.88888889</v>
      </c>
      <c r="AP34" s="144"/>
      <c r="AQ34" s="463">
        <f t="shared" si="7"/>
        <v>302132222.22222227</v>
      </c>
      <c r="AR34" s="448">
        <f t="shared" si="8"/>
        <v>61433888.888888888</v>
      </c>
      <c r="AS34" s="453">
        <f t="shared" si="8"/>
        <v>61433888.888888888</v>
      </c>
      <c r="AT34" s="144"/>
      <c r="AU34" s="331">
        <f t="shared" si="45"/>
        <v>0.10241770244821094</v>
      </c>
      <c r="AV34" s="144"/>
      <c r="AW34" s="332">
        <f t="shared" si="9"/>
        <v>0.23227383863080683</v>
      </c>
      <c r="AX34" s="144"/>
      <c r="AY34" s="459">
        <f t="shared" si="41"/>
        <v>-285566111.1111111</v>
      </c>
      <c r="AZ34" s="144"/>
      <c r="BA34" s="448">
        <f t="shared" si="34"/>
        <v>91000000</v>
      </c>
      <c r="BB34" s="448">
        <f t="shared" si="35"/>
        <v>59150000</v>
      </c>
      <c r="BC34" s="448">
        <f t="shared" si="10"/>
        <v>10465000</v>
      </c>
      <c r="BD34" s="448">
        <f t="shared" si="11"/>
        <v>455000</v>
      </c>
      <c r="BE34" s="448">
        <f t="shared" si="36"/>
        <v>20930000</v>
      </c>
    </row>
    <row r="35" spans="1:57">
      <c r="A35" s="81" t="s">
        <v>197</v>
      </c>
      <c r="B35" s="1">
        <v>2036</v>
      </c>
      <c r="C35" s="261">
        <v>5.4000000000000003E-3</v>
      </c>
      <c r="D35" s="246">
        <f t="shared" si="12"/>
        <v>649900000</v>
      </c>
      <c r="E35" s="344">
        <f t="shared" si="13"/>
        <v>909860000</v>
      </c>
      <c r="F35" s="676">
        <f t="shared" si="37"/>
        <v>61000000</v>
      </c>
      <c r="G35" s="16">
        <f t="shared" si="38"/>
        <v>747385000</v>
      </c>
      <c r="H35" s="19">
        <f t="shared" si="42"/>
        <v>538117200</v>
      </c>
      <c r="I35" s="16">
        <f t="shared" si="14"/>
        <v>162475000</v>
      </c>
      <c r="J35" s="19">
        <f t="shared" si="15"/>
        <v>93585600</v>
      </c>
      <c r="K35" s="16">
        <f t="shared" si="16"/>
        <v>0</v>
      </c>
      <c r="L35" s="25">
        <f t="shared" si="17"/>
        <v>0</v>
      </c>
      <c r="M35" s="229">
        <f>ROUND(H35+J35+L35,-6)</f>
        <v>632000000</v>
      </c>
      <c r="N35" s="230">
        <f t="shared" si="19"/>
        <v>191000000</v>
      </c>
      <c r="O35" s="231">
        <f t="shared" si="20"/>
        <v>441000000</v>
      </c>
      <c r="P35" s="232">
        <f t="shared" si="39"/>
        <v>30000000</v>
      </c>
      <c r="Q35" s="233">
        <f t="shared" si="21"/>
        <v>411000000</v>
      </c>
      <c r="R35" s="659">
        <f t="shared" si="22"/>
        <v>349000000</v>
      </c>
      <c r="S35" s="656">
        <f>ROUND(Q35*0.15,-6)</f>
        <v>62000000</v>
      </c>
      <c r="T35" s="234">
        <f t="shared" si="23"/>
        <v>92000000</v>
      </c>
      <c r="U35" s="124">
        <f t="shared" si="24"/>
        <v>7.2295081967213113</v>
      </c>
      <c r="V35" s="124">
        <f t="shared" si="25"/>
        <v>0.69461235794517839</v>
      </c>
      <c r="X35" s="379">
        <f t="shared" si="26"/>
        <v>632000000</v>
      </c>
      <c r="Y35" s="235">
        <v>12000000</v>
      </c>
      <c r="Z35" s="19">
        <v>5000000</v>
      </c>
      <c r="AA35" s="236">
        <f t="shared" si="43"/>
        <v>-220000000</v>
      </c>
      <c r="AB35" s="237">
        <f t="shared" si="27"/>
        <v>429000000</v>
      </c>
      <c r="AD35" s="238">
        <f t="shared" si="4"/>
        <v>236000000</v>
      </c>
      <c r="AE35" s="238">
        <f t="shared" si="28"/>
        <v>193000000</v>
      </c>
      <c r="AF35" s="17"/>
      <c r="AG35" s="239">
        <f t="shared" si="5"/>
        <v>131555555.55555555</v>
      </c>
      <c r="AH35" s="240">
        <f t="shared" si="29"/>
        <v>36835555.555555552</v>
      </c>
      <c r="AI35" s="240">
        <f t="shared" si="30"/>
        <v>47360000</v>
      </c>
      <c r="AJ35" s="241">
        <f t="shared" si="31"/>
        <v>47360000</v>
      </c>
      <c r="AL35" s="239">
        <f t="shared" si="44"/>
        <v>61444444.444444448</v>
      </c>
      <c r="AM35" s="17">
        <f t="shared" si="6"/>
        <v>31336666.666666668</v>
      </c>
      <c r="AN35" s="17">
        <f t="shared" si="32"/>
        <v>15053888.88888889</v>
      </c>
      <c r="AO35" s="233">
        <f t="shared" si="33"/>
        <v>15053888.88888889</v>
      </c>
      <c r="AQ35" s="242">
        <f t="shared" si="7"/>
        <v>304172222.22222227</v>
      </c>
      <c r="AR35" s="17">
        <f t="shared" si="8"/>
        <v>62413888.888888888</v>
      </c>
      <c r="AS35" s="233">
        <f t="shared" si="8"/>
        <v>62413888.888888888</v>
      </c>
      <c r="AU35" s="260">
        <f t="shared" si="45"/>
        <v>0.10310922787193975</v>
      </c>
      <c r="AW35" s="244">
        <f t="shared" si="9"/>
        <v>0.23207776427703525</v>
      </c>
      <c r="AY35" s="238">
        <f t="shared" si="41"/>
        <v>-286586111.1111111</v>
      </c>
      <c r="BA35" s="19">
        <f t="shared" si="34"/>
        <v>92000000</v>
      </c>
      <c r="BB35" s="19">
        <f t="shared" si="35"/>
        <v>59800000</v>
      </c>
      <c r="BC35" s="19">
        <f t="shared" si="10"/>
        <v>10580000</v>
      </c>
      <c r="BD35" s="19">
        <f t="shared" si="11"/>
        <v>460000</v>
      </c>
      <c r="BE35" s="19">
        <f t="shared" si="36"/>
        <v>21160000</v>
      </c>
    </row>
    <row r="36" spans="1:57">
      <c r="A36" s="81" t="s">
        <v>316</v>
      </c>
      <c r="B36" s="1">
        <v>2037</v>
      </c>
      <c r="C36" s="261">
        <v>5.4999999999999997E-3</v>
      </c>
      <c r="D36" s="246">
        <f t="shared" si="12"/>
        <v>653500000</v>
      </c>
      <c r="E36" s="344">
        <f t="shared" si="13"/>
        <v>914900000</v>
      </c>
      <c r="F36" s="676">
        <f t="shared" si="37"/>
        <v>61000000</v>
      </c>
      <c r="G36" s="16">
        <f t="shared" si="38"/>
        <v>751525000</v>
      </c>
      <c r="H36" s="19">
        <f t="shared" si="42"/>
        <v>541098000</v>
      </c>
      <c r="I36" s="16">
        <f t="shared" si="14"/>
        <v>163375000</v>
      </c>
      <c r="J36" s="19">
        <f t="shared" si="15"/>
        <v>94104000</v>
      </c>
      <c r="K36" s="16">
        <f t="shared" si="16"/>
        <v>0</v>
      </c>
      <c r="L36" s="25">
        <f t="shared" si="17"/>
        <v>0</v>
      </c>
      <c r="M36" s="229">
        <f t="shared" si="18"/>
        <v>635000000</v>
      </c>
      <c r="N36" s="230">
        <f t="shared" si="19"/>
        <v>192000000</v>
      </c>
      <c r="O36" s="231">
        <f t="shared" si="20"/>
        <v>443000000</v>
      </c>
      <c r="P36" s="232">
        <f t="shared" si="39"/>
        <v>30000000</v>
      </c>
      <c r="Q36" s="233">
        <f t="shared" si="21"/>
        <v>413000000</v>
      </c>
      <c r="R36" s="659">
        <f>ROUND(Q36*0.85,-6)</f>
        <v>351000000</v>
      </c>
      <c r="S36" s="656">
        <f t="shared" si="40"/>
        <v>62000000</v>
      </c>
      <c r="T36" s="234">
        <f t="shared" si="23"/>
        <v>92000000</v>
      </c>
      <c r="U36" s="124">
        <f t="shared" si="24"/>
        <v>7.2622950819672134</v>
      </c>
      <c r="V36" s="124">
        <f t="shared" si="25"/>
        <v>0.69406492512842932</v>
      </c>
      <c r="X36" s="379">
        <f t="shared" si="26"/>
        <v>635000000</v>
      </c>
      <c r="Y36" s="235">
        <v>12000000</v>
      </c>
      <c r="Z36" s="19">
        <v>5000000</v>
      </c>
      <c r="AA36" s="236">
        <f t="shared" si="43"/>
        <v>-220000000</v>
      </c>
      <c r="AB36" s="237">
        <f t="shared" si="27"/>
        <v>432000000</v>
      </c>
      <c r="AD36" s="238">
        <f t="shared" si="4"/>
        <v>236000000</v>
      </c>
      <c r="AE36" s="238">
        <f t="shared" si="28"/>
        <v>196000000</v>
      </c>
      <c r="AF36" s="17"/>
      <c r="AG36" s="239">
        <f t="shared" si="5"/>
        <v>131555555.55555555</v>
      </c>
      <c r="AH36" s="240">
        <f t="shared" si="29"/>
        <v>36835555.555555552</v>
      </c>
      <c r="AI36" s="240">
        <f t="shared" si="30"/>
        <v>47360000</v>
      </c>
      <c r="AJ36" s="241">
        <f t="shared" si="31"/>
        <v>47360000</v>
      </c>
      <c r="AL36" s="239">
        <f t="shared" si="44"/>
        <v>64444444.444444448</v>
      </c>
      <c r="AM36" s="17">
        <f t="shared" si="6"/>
        <v>32866666.666666668</v>
      </c>
      <c r="AN36" s="17">
        <f t="shared" si="32"/>
        <v>15788888.88888889</v>
      </c>
      <c r="AO36" s="233">
        <f t="shared" si="33"/>
        <v>15788888.88888889</v>
      </c>
      <c r="AQ36" s="242">
        <f t="shared" si="7"/>
        <v>305702222.22222227</v>
      </c>
      <c r="AR36" s="17">
        <f t="shared" si="8"/>
        <v>63148888.888888888</v>
      </c>
      <c r="AS36" s="233">
        <f t="shared" si="8"/>
        <v>63148888.888888888</v>
      </c>
      <c r="AU36" s="260">
        <f t="shared" si="45"/>
        <v>0.10362787193973637</v>
      </c>
      <c r="AW36" s="244">
        <f t="shared" si="9"/>
        <v>0.23216444981862153</v>
      </c>
      <c r="AY36" s="238">
        <f t="shared" si="41"/>
        <v>-287851111.1111111</v>
      </c>
      <c r="BA36" s="19">
        <f t="shared" si="34"/>
        <v>92000000</v>
      </c>
      <c r="BB36" s="19">
        <f t="shared" si="35"/>
        <v>59800000</v>
      </c>
      <c r="BC36" s="19">
        <f t="shared" si="10"/>
        <v>10580000</v>
      </c>
      <c r="BD36" s="19">
        <f t="shared" si="11"/>
        <v>460000</v>
      </c>
      <c r="BE36" s="19">
        <f t="shared" si="36"/>
        <v>21160000</v>
      </c>
    </row>
    <row r="37" spans="1:57">
      <c r="A37" s="81" t="s">
        <v>317</v>
      </c>
      <c r="B37" s="1">
        <v>2038</v>
      </c>
      <c r="C37" s="261">
        <v>3.5000000000000001E-3</v>
      </c>
      <c r="D37" s="246">
        <f t="shared" si="12"/>
        <v>655800000</v>
      </c>
      <c r="E37" s="344">
        <f t="shared" si="13"/>
        <v>918120000</v>
      </c>
      <c r="F37" s="676">
        <f t="shared" si="37"/>
        <v>61000000</v>
      </c>
      <c r="G37" s="16">
        <f t="shared" si="38"/>
        <v>754170000</v>
      </c>
      <c r="H37" s="19">
        <f t="shared" si="42"/>
        <v>543002400</v>
      </c>
      <c r="I37" s="16">
        <f t="shared" si="14"/>
        <v>163950000</v>
      </c>
      <c r="J37" s="19">
        <f t="shared" si="15"/>
        <v>94435200</v>
      </c>
      <c r="K37" s="16">
        <f t="shared" si="16"/>
        <v>0</v>
      </c>
      <c r="L37" s="25">
        <f t="shared" si="17"/>
        <v>0</v>
      </c>
      <c r="M37" s="229">
        <f t="shared" si="18"/>
        <v>637000000</v>
      </c>
      <c r="N37" s="230">
        <f t="shared" si="19"/>
        <v>193000000</v>
      </c>
      <c r="O37" s="231">
        <f t="shared" si="20"/>
        <v>444000000</v>
      </c>
      <c r="P37" s="232">
        <f t="shared" si="39"/>
        <v>30000000</v>
      </c>
      <c r="Q37" s="233">
        <f t="shared" si="21"/>
        <v>414000000</v>
      </c>
      <c r="R37" s="659">
        <f t="shared" si="22"/>
        <v>352000000</v>
      </c>
      <c r="S37" s="656">
        <f t="shared" si="40"/>
        <v>62000000</v>
      </c>
      <c r="T37" s="234">
        <f>S37+P37</f>
        <v>92000000</v>
      </c>
      <c r="U37" s="124">
        <f t="shared" si="24"/>
        <v>7.278688524590164</v>
      </c>
      <c r="V37" s="124">
        <f t="shared" si="25"/>
        <v>0.69380908813662701</v>
      </c>
      <c r="X37" s="379">
        <f t="shared" si="26"/>
        <v>637000000</v>
      </c>
      <c r="Y37" s="235">
        <v>12000000</v>
      </c>
      <c r="Z37" s="19">
        <v>5000000</v>
      </c>
      <c r="AA37" s="236">
        <f t="shared" si="43"/>
        <v>-220000000</v>
      </c>
      <c r="AB37" s="237">
        <f t="shared" si="27"/>
        <v>434000000</v>
      </c>
      <c r="AD37" s="238">
        <f t="shared" si="4"/>
        <v>236000000</v>
      </c>
      <c r="AE37" s="238">
        <f t="shared" si="28"/>
        <v>198000000</v>
      </c>
      <c r="AF37" s="17"/>
      <c r="AG37" s="239">
        <f t="shared" si="5"/>
        <v>131555555.55555555</v>
      </c>
      <c r="AH37" s="240">
        <f t="shared" si="29"/>
        <v>36835555.555555552</v>
      </c>
      <c r="AI37" s="240">
        <f t="shared" si="30"/>
        <v>47360000</v>
      </c>
      <c r="AJ37" s="241">
        <f t="shared" si="31"/>
        <v>47360000</v>
      </c>
      <c r="AL37" s="239">
        <f t="shared" si="44"/>
        <v>66444444.444444448</v>
      </c>
      <c r="AM37" s="17">
        <f t="shared" si="6"/>
        <v>33886666.666666672</v>
      </c>
      <c r="AN37" s="17">
        <f t="shared" si="32"/>
        <v>16278888.88888889</v>
      </c>
      <c r="AO37" s="233">
        <f t="shared" si="33"/>
        <v>16278888.88888889</v>
      </c>
      <c r="AQ37" s="242">
        <f t="shared" si="7"/>
        <v>306722222.22222227</v>
      </c>
      <c r="AR37" s="17">
        <f t="shared" si="8"/>
        <v>63638888.888888888</v>
      </c>
      <c r="AS37" s="233">
        <f t="shared" si="8"/>
        <v>63638888.888888888</v>
      </c>
      <c r="AU37" s="260">
        <f t="shared" si="45"/>
        <v>0.10397363465160077</v>
      </c>
      <c r="AW37" s="244">
        <f t="shared" si="9"/>
        <v>0.2325301204819277</v>
      </c>
      <c r="AY37" s="238">
        <f t="shared" si="41"/>
        <v>-288361111.1111111</v>
      </c>
      <c r="BA37" s="19">
        <f t="shared" si="34"/>
        <v>92000000</v>
      </c>
      <c r="BB37" s="19">
        <f t="shared" si="35"/>
        <v>59800000</v>
      </c>
      <c r="BC37" s="19">
        <f t="shared" si="10"/>
        <v>10580000</v>
      </c>
      <c r="BD37" s="19">
        <f t="shared" si="11"/>
        <v>460000</v>
      </c>
      <c r="BE37" s="19">
        <f t="shared" si="36"/>
        <v>21160000</v>
      </c>
    </row>
    <row r="38" spans="1:57">
      <c r="A38" s="81" t="s">
        <v>318</v>
      </c>
      <c r="B38" s="1">
        <v>2039</v>
      </c>
      <c r="C38" s="261">
        <v>3.5999999999999999E-3</v>
      </c>
      <c r="D38" s="246">
        <f t="shared" si="12"/>
        <v>658200000</v>
      </c>
      <c r="E38" s="344">
        <f t="shared" si="13"/>
        <v>921480000</v>
      </c>
      <c r="F38" s="676">
        <f t="shared" si="37"/>
        <v>61000000</v>
      </c>
      <c r="G38" s="16">
        <f t="shared" si="38"/>
        <v>756930000</v>
      </c>
      <c r="H38" s="19">
        <f t="shared" si="42"/>
        <v>544989600</v>
      </c>
      <c r="I38" s="16">
        <f t="shared" si="14"/>
        <v>164550000</v>
      </c>
      <c r="J38" s="19">
        <f t="shared" si="15"/>
        <v>94780800</v>
      </c>
      <c r="K38" s="16">
        <f t="shared" si="16"/>
        <v>0</v>
      </c>
      <c r="L38" s="25">
        <f t="shared" si="17"/>
        <v>0</v>
      </c>
      <c r="M38" s="229">
        <f t="shared" si="18"/>
        <v>640000000</v>
      </c>
      <c r="N38" s="230">
        <f t="shared" si="19"/>
        <v>194000000</v>
      </c>
      <c r="O38" s="231">
        <f t="shared" si="20"/>
        <v>446000000</v>
      </c>
      <c r="P38" s="232">
        <f t="shared" si="39"/>
        <v>30000000</v>
      </c>
      <c r="Q38" s="233">
        <f t="shared" si="21"/>
        <v>416000000</v>
      </c>
      <c r="R38" s="659">
        <f>ROUND(Q38*0.85,-6)</f>
        <v>354000000</v>
      </c>
      <c r="S38" s="656">
        <f>ROUND(Q38*0.15,-6)</f>
        <v>62000000</v>
      </c>
      <c r="T38" s="234">
        <f>S38+P38</f>
        <v>92000000</v>
      </c>
      <c r="U38" s="124">
        <f t="shared" si="24"/>
        <v>7.3114754098360653</v>
      </c>
      <c r="V38" s="124">
        <f t="shared" si="25"/>
        <v>0.69453487867343833</v>
      </c>
      <c r="X38" s="379">
        <f t="shared" si="26"/>
        <v>640000000</v>
      </c>
      <c r="Y38" s="235">
        <v>12000000</v>
      </c>
      <c r="Z38" s="19">
        <v>5000000</v>
      </c>
      <c r="AA38" s="236">
        <f t="shared" si="43"/>
        <v>-220000000</v>
      </c>
      <c r="AB38" s="237">
        <f t="shared" si="27"/>
        <v>437000000</v>
      </c>
      <c r="AD38" s="238">
        <f t="shared" si="4"/>
        <v>236000000</v>
      </c>
      <c r="AE38" s="238">
        <f t="shared" si="28"/>
        <v>201000000</v>
      </c>
      <c r="AF38" s="17"/>
      <c r="AG38" s="239">
        <f t="shared" si="5"/>
        <v>131555555.55555555</v>
      </c>
      <c r="AH38" s="240">
        <f t="shared" si="29"/>
        <v>36835555.555555552</v>
      </c>
      <c r="AI38" s="240">
        <f t="shared" si="30"/>
        <v>47360000</v>
      </c>
      <c r="AJ38" s="241">
        <f t="shared" si="31"/>
        <v>47360000</v>
      </c>
      <c r="AL38" s="239">
        <f t="shared" si="44"/>
        <v>69444444.444444448</v>
      </c>
      <c r="AM38" s="17">
        <f t="shared" si="6"/>
        <v>35416666.666666672</v>
      </c>
      <c r="AN38" s="17">
        <f t="shared" si="32"/>
        <v>17013888.888888888</v>
      </c>
      <c r="AO38" s="233">
        <f t="shared" si="33"/>
        <v>17013888.888888888</v>
      </c>
      <c r="AQ38" s="242">
        <f t="shared" si="7"/>
        <v>308252222.22222227</v>
      </c>
      <c r="AR38" s="17">
        <f t="shared" si="8"/>
        <v>64373888.888888888</v>
      </c>
      <c r="AS38" s="233">
        <f t="shared" si="8"/>
        <v>64373888.888888888</v>
      </c>
      <c r="AU38" s="260">
        <f t="shared" si="45"/>
        <v>0.10449227871939738</v>
      </c>
      <c r="AW38" s="244">
        <f t="shared" si="9"/>
        <v>0.23261390887290168</v>
      </c>
      <c r="AY38" s="238">
        <f t="shared" si="41"/>
        <v>-289626111.1111111</v>
      </c>
      <c r="BA38" s="19">
        <f t="shared" si="34"/>
        <v>92000000</v>
      </c>
      <c r="BB38" s="19">
        <f t="shared" si="35"/>
        <v>59800000</v>
      </c>
      <c r="BC38" s="19">
        <f t="shared" si="10"/>
        <v>10580000</v>
      </c>
      <c r="BD38" s="19">
        <f t="shared" si="11"/>
        <v>460000</v>
      </c>
      <c r="BE38" s="19">
        <f t="shared" si="36"/>
        <v>21160000</v>
      </c>
    </row>
    <row r="39" spans="1:57">
      <c r="A39" s="81" t="s">
        <v>381</v>
      </c>
      <c r="B39" s="1">
        <v>2040</v>
      </c>
      <c r="C39" s="261">
        <v>3.5999999999999999E-3</v>
      </c>
      <c r="D39" s="246">
        <f t="shared" si="12"/>
        <v>660600000</v>
      </c>
      <c r="E39" s="344">
        <f t="shared" si="13"/>
        <v>924840000</v>
      </c>
      <c r="F39" s="676">
        <f t="shared" si="37"/>
        <v>62000000</v>
      </c>
      <c r="G39" s="16">
        <f t="shared" si="38"/>
        <v>759690000</v>
      </c>
      <c r="H39" s="19">
        <f t="shared" si="42"/>
        <v>546976800</v>
      </c>
      <c r="I39" s="16">
        <f t="shared" si="14"/>
        <v>165150000</v>
      </c>
      <c r="J39" s="19">
        <f t="shared" si="15"/>
        <v>95126400</v>
      </c>
      <c r="K39" s="16">
        <f t="shared" si="16"/>
        <v>0</v>
      </c>
      <c r="L39" s="25">
        <f t="shared" si="17"/>
        <v>0</v>
      </c>
      <c r="M39" s="229">
        <f t="shared" si="18"/>
        <v>642000000</v>
      </c>
      <c r="N39" s="230">
        <f t="shared" si="19"/>
        <v>194000000</v>
      </c>
      <c r="O39" s="231">
        <f t="shared" si="20"/>
        <v>448000000</v>
      </c>
      <c r="P39" s="232">
        <f t="shared" si="39"/>
        <v>30000000</v>
      </c>
      <c r="Q39" s="233">
        <f>O39-P39</f>
        <v>418000000</v>
      </c>
      <c r="R39" s="659">
        <f t="shared" si="22"/>
        <v>355000000</v>
      </c>
      <c r="S39" s="656">
        <f t="shared" si="40"/>
        <v>63000000</v>
      </c>
      <c r="T39" s="234">
        <f t="shared" si="23"/>
        <v>93000000</v>
      </c>
      <c r="U39" s="124">
        <f t="shared" si="24"/>
        <v>7.225806451612903</v>
      </c>
      <c r="V39" s="124">
        <f t="shared" si="25"/>
        <v>0.6941741274166342</v>
      </c>
      <c r="X39" s="379">
        <f t="shared" si="26"/>
        <v>642000000</v>
      </c>
      <c r="Y39" s="235">
        <v>12000000</v>
      </c>
      <c r="Z39" s="19">
        <v>5000000</v>
      </c>
      <c r="AA39" s="236">
        <f t="shared" si="43"/>
        <v>-220000000</v>
      </c>
      <c r="AB39" s="237">
        <f t="shared" si="27"/>
        <v>439000000</v>
      </c>
      <c r="AD39" s="238">
        <f t="shared" si="4"/>
        <v>236000000</v>
      </c>
      <c r="AE39" s="238">
        <f t="shared" si="28"/>
        <v>203000000</v>
      </c>
      <c r="AF39" s="17"/>
      <c r="AG39" s="239">
        <f t="shared" si="5"/>
        <v>131555555.55555555</v>
      </c>
      <c r="AH39" s="240">
        <f t="shared" si="29"/>
        <v>36835555.555555552</v>
      </c>
      <c r="AI39" s="240">
        <f t="shared" si="30"/>
        <v>47360000</v>
      </c>
      <c r="AJ39" s="241">
        <f t="shared" si="31"/>
        <v>47360000</v>
      </c>
      <c r="AL39" s="239">
        <f t="shared" si="44"/>
        <v>71444444.444444448</v>
      </c>
      <c r="AM39" s="17">
        <f t="shared" si="6"/>
        <v>36436666.666666672</v>
      </c>
      <c r="AN39" s="17">
        <f t="shared" si="32"/>
        <v>17503888.888888888</v>
      </c>
      <c r="AO39" s="233">
        <f t="shared" si="33"/>
        <v>17503888.888888888</v>
      </c>
      <c r="AQ39" s="242">
        <f t="shared" si="7"/>
        <v>309272222.22222227</v>
      </c>
      <c r="AR39" s="17">
        <f t="shared" si="8"/>
        <v>64863888.888888888</v>
      </c>
      <c r="AS39" s="233">
        <f t="shared" si="8"/>
        <v>64863888.888888888</v>
      </c>
      <c r="AU39" s="260">
        <f t="shared" si="45"/>
        <v>0.10483804143126178</v>
      </c>
      <c r="AW39" s="244">
        <f t="shared" si="9"/>
        <v>0.23205741626794257</v>
      </c>
      <c r="AY39" s="238">
        <f t="shared" si="41"/>
        <v>-290136111.1111111</v>
      </c>
      <c r="BA39" s="19">
        <f t="shared" si="34"/>
        <v>93000000</v>
      </c>
      <c r="BB39" s="19">
        <f t="shared" si="35"/>
        <v>60450000</v>
      </c>
      <c r="BC39" s="19">
        <f t="shared" si="10"/>
        <v>10695000</v>
      </c>
      <c r="BD39" s="19">
        <f t="shared" si="11"/>
        <v>465000</v>
      </c>
      <c r="BE39" s="19">
        <f t="shared" si="36"/>
        <v>21390000</v>
      </c>
    </row>
    <row r="40" spans="1:57">
      <c r="A40" s="81" t="s">
        <v>383</v>
      </c>
      <c r="B40" s="1">
        <v>2041</v>
      </c>
      <c r="C40" s="261">
        <v>3.5999999999999999E-3</v>
      </c>
      <c r="D40" s="246">
        <f t="shared" si="12"/>
        <v>663000000</v>
      </c>
      <c r="E40" s="344">
        <f t="shared" si="13"/>
        <v>928200000</v>
      </c>
      <c r="F40" s="676">
        <f t="shared" si="37"/>
        <v>62000000</v>
      </c>
      <c r="G40" s="16">
        <f t="shared" si="38"/>
        <v>762450000</v>
      </c>
      <c r="H40" s="19">
        <f t="shared" si="42"/>
        <v>548964000</v>
      </c>
      <c r="I40" s="16">
        <f t="shared" si="14"/>
        <v>165750000</v>
      </c>
      <c r="J40" s="19">
        <f t="shared" si="15"/>
        <v>95472000</v>
      </c>
      <c r="K40" s="16">
        <f t="shared" si="16"/>
        <v>0</v>
      </c>
      <c r="L40" s="25">
        <f t="shared" si="17"/>
        <v>0</v>
      </c>
      <c r="M40" s="229">
        <f t="shared" si="18"/>
        <v>644000000</v>
      </c>
      <c r="N40" s="230">
        <f t="shared" si="19"/>
        <v>195000000</v>
      </c>
      <c r="O40" s="231">
        <f t="shared" si="20"/>
        <v>449000000</v>
      </c>
      <c r="P40" s="232">
        <f t="shared" si="39"/>
        <v>30000000</v>
      </c>
      <c r="Q40" s="233">
        <f t="shared" si="21"/>
        <v>419000000</v>
      </c>
      <c r="R40" s="659">
        <f t="shared" si="22"/>
        <v>356000000</v>
      </c>
      <c r="S40" s="656">
        <f t="shared" si="40"/>
        <v>63000000</v>
      </c>
      <c r="T40" s="234">
        <f t="shared" si="23"/>
        <v>93000000</v>
      </c>
      <c r="U40" s="124">
        <f t="shared" si="24"/>
        <v>7.241935483870968</v>
      </c>
      <c r="V40" s="124">
        <f t="shared" si="25"/>
        <v>0.69381598793363497</v>
      </c>
      <c r="X40" s="379">
        <f t="shared" si="26"/>
        <v>644000000</v>
      </c>
      <c r="Y40" s="235">
        <v>12000000</v>
      </c>
      <c r="Z40" s="19">
        <v>5000000</v>
      </c>
      <c r="AA40" s="236">
        <f t="shared" si="43"/>
        <v>-220000000</v>
      </c>
      <c r="AB40" s="237">
        <f t="shared" si="27"/>
        <v>441000000</v>
      </c>
      <c r="AD40" s="238">
        <f t="shared" si="4"/>
        <v>236000000</v>
      </c>
      <c r="AE40" s="238">
        <f t="shared" si="28"/>
        <v>205000000</v>
      </c>
      <c r="AF40" s="17"/>
      <c r="AG40" s="239">
        <f t="shared" si="5"/>
        <v>131555555.55555555</v>
      </c>
      <c r="AH40" s="262">
        <f t="shared" si="29"/>
        <v>36835555.555555552</v>
      </c>
      <c r="AI40" s="240">
        <f t="shared" si="30"/>
        <v>47360000</v>
      </c>
      <c r="AJ40" s="241">
        <f t="shared" si="31"/>
        <v>47360000</v>
      </c>
      <c r="AL40" s="239">
        <f t="shared" si="44"/>
        <v>73444444.444444448</v>
      </c>
      <c r="AM40" s="17">
        <f t="shared" si="6"/>
        <v>37456666.666666672</v>
      </c>
      <c r="AN40" s="17">
        <f t="shared" si="32"/>
        <v>17993888.888888888</v>
      </c>
      <c r="AO40" s="233">
        <f t="shared" si="33"/>
        <v>17993888.888888888</v>
      </c>
      <c r="AQ40" s="242">
        <f t="shared" si="7"/>
        <v>310292222.22222227</v>
      </c>
      <c r="AR40" s="17">
        <f t="shared" si="8"/>
        <v>65353888.888888888</v>
      </c>
      <c r="AS40" s="233">
        <f t="shared" si="8"/>
        <v>65353888.888888888</v>
      </c>
      <c r="AU40" s="260">
        <f t="shared" si="45"/>
        <v>0.1051838041431262</v>
      </c>
      <c r="AW40" s="244">
        <f t="shared" si="9"/>
        <v>0.23241954707985699</v>
      </c>
      <c r="AY40" s="238">
        <f t="shared" si="41"/>
        <v>-290646111.1111111</v>
      </c>
      <c r="BA40" s="19">
        <f t="shared" si="34"/>
        <v>93000000</v>
      </c>
      <c r="BB40" s="19">
        <f t="shared" si="35"/>
        <v>60450000</v>
      </c>
      <c r="BC40" s="19">
        <f t="shared" si="10"/>
        <v>10695000</v>
      </c>
      <c r="BD40" s="19">
        <f t="shared" si="11"/>
        <v>465000</v>
      </c>
      <c r="BE40" s="19">
        <f t="shared" si="36"/>
        <v>21390000</v>
      </c>
    </row>
    <row r="41" spans="1:57">
      <c r="A41" s="81" t="s">
        <v>319</v>
      </c>
      <c r="B41" s="1">
        <v>2042</v>
      </c>
      <c r="C41" s="263">
        <v>4.0000000000000001E-3</v>
      </c>
      <c r="D41" s="264">
        <f t="shared" si="12"/>
        <v>665700000</v>
      </c>
      <c r="E41" s="344">
        <f t="shared" si="13"/>
        <v>931980000</v>
      </c>
      <c r="F41" s="676">
        <f t="shared" si="37"/>
        <v>62000000</v>
      </c>
      <c r="G41" s="16">
        <f t="shared" si="38"/>
        <v>765555000</v>
      </c>
      <c r="H41" s="228">
        <f t="shared" si="42"/>
        <v>551199600</v>
      </c>
      <c r="I41" s="16">
        <f t="shared" si="14"/>
        <v>166425000</v>
      </c>
      <c r="J41" s="19">
        <f t="shared" si="15"/>
        <v>95860800</v>
      </c>
      <c r="K41" s="16">
        <f t="shared" si="16"/>
        <v>0</v>
      </c>
      <c r="L41" s="25">
        <f t="shared" si="17"/>
        <v>0</v>
      </c>
      <c r="M41" s="229">
        <f t="shared" si="18"/>
        <v>647000000</v>
      </c>
      <c r="N41" s="230">
        <f t="shared" si="19"/>
        <v>196000000</v>
      </c>
      <c r="O41" s="231">
        <f t="shared" si="20"/>
        <v>451000000</v>
      </c>
      <c r="P41" s="232">
        <f t="shared" si="39"/>
        <v>30000000</v>
      </c>
      <c r="Q41" s="233">
        <f t="shared" si="21"/>
        <v>421000000</v>
      </c>
      <c r="R41" s="659">
        <f t="shared" si="22"/>
        <v>358000000</v>
      </c>
      <c r="S41" s="664">
        <f t="shared" si="40"/>
        <v>63000000</v>
      </c>
      <c r="T41" s="234">
        <f t="shared" si="23"/>
        <v>93000000</v>
      </c>
      <c r="U41" s="124">
        <f t="shared" si="24"/>
        <v>7.274193548387097</v>
      </c>
      <c r="V41" s="124">
        <f t="shared" si="25"/>
        <v>0.69422090602802633</v>
      </c>
      <c r="X41" s="379">
        <f t="shared" si="26"/>
        <v>647000000</v>
      </c>
      <c r="Y41" s="235">
        <v>12000000</v>
      </c>
      <c r="Z41" s="19">
        <v>5000000</v>
      </c>
      <c r="AA41" s="236">
        <f t="shared" si="43"/>
        <v>-220000000</v>
      </c>
      <c r="AB41" s="237">
        <f t="shared" si="27"/>
        <v>444000000</v>
      </c>
      <c r="AD41" s="238">
        <f t="shared" si="4"/>
        <v>236000000</v>
      </c>
      <c r="AE41" s="238">
        <f t="shared" si="28"/>
        <v>208000000</v>
      </c>
      <c r="AF41" s="17"/>
      <c r="AG41" s="239">
        <f t="shared" si="5"/>
        <v>131555555.55555555</v>
      </c>
      <c r="AH41" s="262">
        <f t="shared" si="29"/>
        <v>36835555.555555552</v>
      </c>
      <c r="AI41" s="240">
        <f t="shared" si="30"/>
        <v>47360000</v>
      </c>
      <c r="AJ41" s="241">
        <f t="shared" si="31"/>
        <v>47360000</v>
      </c>
      <c r="AL41" s="239">
        <f t="shared" si="44"/>
        <v>76444444.444444448</v>
      </c>
      <c r="AM41" s="17">
        <f t="shared" si="6"/>
        <v>38986666.666666672</v>
      </c>
      <c r="AN41" s="17">
        <f t="shared" si="32"/>
        <v>18728888.888888888</v>
      </c>
      <c r="AO41" s="233">
        <f t="shared" si="33"/>
        <v>18728888.888888888</v>
      </c>
      <c r="AQ41" s="242">
        <f t="shared" si="7"/>
        <v>311822222.22222227</v>
      </c>
      <c r="AR41" s="17">
        <f t="shared" si="8"/>
        <v>66088888.888888888</v>
      </c>
      <c r="AS41" s="233">
        <f t="shared" si="8"/>
        <v>66088888.888888888</v>
      </c>
      <c r="AU41" s="260">
        <f t="shared" si="45"/>
        <v>0.1057024482109228</v>
      </c>
      <c r="AW41" s="244">
        <f t="shared" si="9"/>
        <v>0.23250296559905101</v>
      </c>
      <c r="AY41" s="238">
        <f t="shared" si="41"/>
        <v>-291911111.1111111</v>
      </c>
      <c r="BA41" s="19">
        <f t="shared" si="34"/>
        <v>93000000</v>
      </c>
      <c r="BB41" s="19">
        <f t="shared" si="35"/>
        <v>60450000</v>
      </c>
      <c r="BC41" s="19">
        <f t="shared" si="10"/>
        <v>10695000</v>
      </c>
      <c r="BD41" s="19">
        <f t="shared" si="11"/>
        <v>465000</v>
      </c>
      <c r="BE41" s="19">
        <f t="shared" si="36"/>
        <v>21390000</v>
      </c>
    </row>
    <row r="42" spans="1:57">
      <c r="A42" s="81" t="s">
        <v>320</v>
      </c>
      <c r="B42" s="1">
        <v>2043</v>
      </c>
      <c r="C42" s="263">
        <v>4.0000000000000001E-3</v>
      </c>
      <c r="D42" s="264">
        <f t="shared" si="12"/>
        <v>668400000</v>
      </c>
      <c r="E42" s="344">
        <f t="shared" si="13"/>
        <v>935760000</v>
      </c>
      <c r="F42" s="676">
        <f t="shared" si="37"/>
        <v>62000000</v>
      </c>
      <c r="G42" s="16">
        <f t="shared" si="38"/>
        <v>768660000</v>
      </c>
      <c r="H42" s="228">
        <f t="shared" si="42"/>
        <v>553435200</v>
      </c>
      <c r="I42" s="16">
        <f t="shared" si="14"/>
        <v>167100000</v>
      </c>
      <c r="J42" s="19">
        <f t="shared" si="15"/>
        <v>96249600</v>
      </c>
      <c r="K42" s="16">
        <f t="shared" si="16"/>
        <v>0</v>
      </c>
      <c r="L42" s="25">
        <f t="shared" si="17"/>
        <v>0</v>
      </c>
      <c r="M42" s="229">
        <f t="shared" si="18"/>
        <v>650000000</v>
      </c>
      <c r="N42" s="230">
        <f t="shared" si="19"/>
        <v>197000000</v>
      </c>
      <c r="O42" s="231">
        <f t="shared" si="20"/>
        <v>453000000</v>
      </c>
      <c r="P42" s="232">
        <f t="shared" si="39"/>
        <v>30000000</v>
      </c>
      <c r="Q42" s="233">
        <f t="shared" si="21"/>
        <v>423000000</v>
      </c>
      <c r="R42" s="659">
        <f t="shared" si="22"/>
        <v>360000000</v>
      </c>
      <c r="S42" s="664">
        <f t="shared" si="40"/>
        <v>63000000</v>
      </c>
      <c r="T42" s="234">
        <f t="shared" si="23"/>
        <v>93000000</v>
      </c>
      <c r="U42" s="124">
        <f t="shared" si="24"/>
        <v>7.306451612903226</v>
      </c>
      <c r="V42" s="124">
        <f t="shared" si="25"/>
        <v>0.69462255279131402</v>
      </c>
      <c r="X42" s="379">
        <f t="shared" si="26"/>
        <v>650000000</v>
      </c>
      <c r="Y42" s="235">
        <v>12000000</v>
      </c>
      <c r="Z42" s="19">
        <v>5000000</v>
      </c>
      <c r="AA42" s="236">
        <f t="shared" si="43"/>
        <v>-220000000</v>
      </c>
      <c r="AB42" s="237">
        <f t="shared" si="27"/>
        <v>447000000</v>
      </c>
      <c r="AD42" s="238">
        <f t="shared" si="4"/>
        <v>236000000</v>
      </c>
      <c r="AE42" s="238">
        <f t="shared" si="28"/>
        <v>211000000</v>
      </c>
      <c r="AF42" s="17"/>
      <c r="AG42" s="239">
        <f t="shared" si="5"/>
        <v>131555555.55555555</v>
      </c>
      <c r="AH42" s="262">
        <f t="shared" si="29"/>
        <v>36835555.555555552</v>
      </c>
      <c r="AI42" s="240">
        <f t="shared" si="30"/>
        <v>47360000</v>
      </c>
      <c r="AJ42" s="241">
        <f t="shared" si="31"/>
        <v>47360000</v>
      </c>
      <c r="AL42" s="239">
        <f t="shared" si="44"/>
        <v>79444444.444444448</v>
      </c>
      <c r="AM42" s="17">
        <f t="shared" si="6"/>
        <v>40516666.666666672</v>
      </c>
      <c r="AN42" s="17">
        <f t="shared" si="32"/>
        <v>19463888.888888888</v>
      </c>
      <c r="AO42" s="233">
        <f t="shared" si="33"/>
        <v>19463888.888888888</v>
      </c>
      <c r="AQ42" s="242">
        <f t="shared" si="7"/>
        <v>313352222.22222227</v>
      </c>
      <c r="AR42" s="17">
        <f t="shared" si="8"/>
        <v>66823888.888888888</v>
      </c>
      <c r="AS42" s="233">
        <f t="shared" si="8"/>
        <v>66823888.888888888</v>
      </c>
      <c r="AU42" s="260">
        <f t="shared" si="45"/>
        <v>0.10622109227871941</v>
      </c>
      <c r="AW42" s="244">
        <f t="shared" si="9"/>
        <v>0.23258559622195984</v>
      </c>
      <c r="AY42" s="238">
        <f t="shared" si="41"/>
        <v>-293176111.1111111</v>
      </c>
      <c r="BA42" s="19">
        <f t="shared" si="34"/>
        <v>93000000</v>
      </c>
      <c r="BB42" s="19">
        <f t="shared" si="35"/>
        <v>60450000</v>
      </c>
      <c r="BC42" s="19">
        <f t="shared" si="10"/>
        <v>10695000</v>
      </c>
      <c r="BD42" s="19">
        <f t="shared" si="11"/>
        <v>465000</v>
      </c>
      <c r="BE42" s="19">
        <f t="shared" si="36"/>
        <v>21390000</v>
      </c>
    </row>
    <row r="43" spans="1:57">
      <c r="A43" s="81" t="s">
        <v>321</v>
      </c>
      <c r="B43" s="1">
        <v>2044</v>
      </c>
      <c r="C43" s="263">
        <v>4.0000000000000001E-3</v>
      </c>
      <c r="D43" s="264">
        <f t="shared" si="12"/>
        <v>671100000</v>
      </c>
      <c r="E43" s="344">
        <f t="shared" si="13"/>
        <v>939539999.99999988</v>
      </c>
      <c r="F43" s="676">
        <f t="shared" si="37"/>
        <v>63000000</v>
      </c>
      <c r="G43" s="16">
        <f t="shared" si="38"/>
        <v>771764999.99999988</v>
      </c>
      <c r="H43" s="228">
        <f t="shared" si="42"/>
        <v>555670799.99999988</v>
      </c>
      <c r="I43" s="16">
        <f t="shared" si="14"/>
        <v>167775000</v>
      </c>
      <c r="J43" s="19">
        <f t="shared" si="15"/>
        <v>96638400</v>
      </c>
      <c r="K43" s="16">
        <f t="shared" si="16"/>
        <v>0</v>
      </c>
      <c r="L43" s="25">
        <f t="shared" si="17"/>
        <v>0</v>
      </c>
      <c r="M43" s="229">
        <f t="shared" si="18"/>
        <v>652000000</v>
      </c>
      <c r="N43" s="230">
        <f t="shared" si="19"/>
        <v>197000000</v>
      </c>
      <c r="O43" s="231">
        <f t="shared" si="20"/>
        <v>455000000</v>
      </c>
      <c r="P43" s="232">
        <f t="shared" si="39"/>
        <v>30000000</v>
      </c>
      <c r="Q43" s="233">
        <f t="shared" si="21"/>
        <v>425000000</v>
      </c>
      <c r="R43" s="659">
        <f t="shared" si="22"/>
        <v>361000000</v>
      </c>
      <c r="S43" s="664">
        <f t="shared" si="40"/>
        <v>64000000</v>
      </c>
      <c r="T43" s="234">
        <f t="shared" si="23"/>
        <v>94000000</v>
      </c>
      <c r="U43" s="124">
        <f t="shared" si="24"/>
        <v>7.2222222222222223</v>
      </c>
      <c r="V43" s="124">
        <f t="shared" si="25"/>
        <v>0.693956617067927</v>
      </c>
      <c r="X43" s="379">
        <f t="shared" si="26"/>
        <v>652000000</v>
      </c>
      <c r="Y43" s="235">
        <v>12000000</v>
      </c>
      <c r="Z43" s="19">
        <v>5000000</v>
      </c>
      <c r="AA43" s="236">
        <f t="shared" si="43"/>
        <v>-220000000</v>
      </c>
      <c r="AB43" s="237">
        <f t="shared" si="27"/>
        <v>449000000</v>
      </c>
      <c r="AD43" s="238">
        <f t="shared" si="4"/>
        <v>236000000</v>
      </c>
      <c r="AE43" s="238">
        <f t="shared" si="28"/>
        <v>213000000</v>
      </c>
      <c r="AF43" s="17"/>
      <c r="AG43" s="239">
        <f t="shared" si="5"/>
        <v>131555555.55555555</v>
      </c>
      <c r="AH43" s="262">
        <f t="shared" si="29"/>
        <v>36835555.555555552</v>
      </c>
      <c r="AI43" s="240">
        <f t="shared" si="30"/>
        <v>47360000</v>
      </c>
      <c r="AJ43" s="241">
        <f t="shared" si="31"/>
        <v>47360000</v>
      </c>
      <c r="AL43" s="239">
        <f t="shared" si="44"/>
        <v>81444444.444444448</v>
      </c>
      <c r="AM43" s="17">
        <f t="shared" si="6"/>
        <v>41536666.666666672</v>
      </c>
      <c r="AN43" s="17">
        <f t="shared" si="32"/>
        <v>19953888.888888888</v>
      </c>
      <c r="AO43" s="233">
        <f t="shared" si="33"/>
        <v>19953888.888888888</v>
      </c>
      <c r="AQ43" s="242">
        <f t="shared" si="7"/>
        <v>314372222.22222227</v>
      </c>
      <c r="AR43" s="17">
        <f t="shared" si="8"/>
        <v>67313888.888888896</v>
      </c>
      <c r="AS43" s="233">
        <f t="shared" si="8"/>
        <v>67313888.888888896</v>
      </c>
      <c r="AU43" s="260">
        <f t="shared" si="45"/>
        <v>0.10656685499058383</v>
      </c>
      <c r="AW43" s="244">
        <f t="shared" si="9"/>
        <v>0.23203769140164901</v>
      </c>
      <c r="AY43" s="238">
        <f t="shared" si="41"/>
        <v>-293686111.1111111</v>
      </c>
      <c r="BA43" s="19">
        <f t="shared" si="34"/>
        <v>94000000</v>
      </c>
      <c r="BB43" s="19">
        <f t="shared" si="35"/>
        <v>61100000</v>
      </c>
      <c r="BC43" s="19">
        <f t="shared" si="10"/>
        <v>10810000</v>
      </c>
      <c r="BD43" s="19">
        <f t="shared" si="11"/>
        <v>470000</v>
      </c>
      <c r="BE43" s="19">
        <f t="shared" si="36"/>
        <v>21620000</v>
      </c>
    </row>
    <row r="44" spans="1:57">
      <c r="A44" s="81" t="s">
        <v>322</v>
      </c>
      <c r="B44" s="1">
        <v>2045</v>
      </c>
      <c r="C44" s="263">
        <v>4.0000000000000001E-3</v>
      </c>
      <c r="D44" s="264">
        <f t="shared" si="12"/>
        <v>673800000</v>
      </c>
      <c r="E44" s="344">
        <f t="shared" si="13"/>
        <v>943319999.99999988</v>
      </c>
      <c r="F44" s="676">
        <f t="shared" si="37"/>
        <v>63000000</v>
      </c>
      <c r="G44" s="16">
        <f t="shared" si="38"/>
        <v>774869999.99999988</v>
      </c>
      <c r="H44" s="19">
        <f t="shared" si="42"/>
        <v>557906399.99999988</v>
      </c>
      <c r="I44" s="16">
        <f t="shared" si="14"/>
        <v>168450000</v>
      </c>
      <c r="J44" s="19">
        <f t="shared" si="15"/>
        <v>97027200</v>
      </c>
      <c r="K44" s="16">
        <f t="shared" si="16"/>
        <v>0</v>
      </c>
      <c r="L44" s="25">
        <f t="shared" si="17"/>
        <v>0</v>
      </c>
      <c r="M44" s="229">
        <f t="shared" si="18"/>
        <v>655000000</v>
      </c>
      <c r="N44" s="230">
        <f t="shared" si="19"/>
        <v>198000000</v>
      </c>
      <c r="O44" s="231">
        <f t="shared" si="20"/>
        <v>457000000</v>
      </c>
      <c r="P44" s="232">
        <f t="shared" si="39"/>
        <v>30000000</v>
      </c>
      <c r="Q44" s="233">
        <f>O44-P44</f>
        <v>427000000</v>
      </c>
      <c r="R44" s="659">
        <f t="shared" si="22"/>
        <v>363000000</v>
      </c>
      <c r="S44" s="664">
        <f t="shared" si="40"/>
        <v>64000000</v>
      </c>
      <c r="T44" s="234">
        <f t="shared" si="23"/>
        <v>94000000</v>
      </c>
      <c r="U44" s="124">
        <f t="shared" si="24"/>
        <v>7.253968253968254</v>
      </c>
      <c r="V44" s="124">
        <f t="shared" si="25"/>
        <v>0.69435610397320113</v>
      </c>
      <c r="X44" s="379">
        <f t="shared" si="26"/>
        <v>655000000</v>
      </c>
      <c r="Y44" s="235">
        <v>12000000</v>
      </c>
      <c r="Z44" s="19">
        <v>5000000</v>
      </c>
      <c r="AA44" s="236">
        <f t="shared" si="43"/>
        <v>-220000000</v>
      </c>
      <c r="AB44" s="237">
        <f t="shared" si="27"/>
        <v>452000000</v>
      </c>
      <c r="AD44" s="238">
        <f t="shared" si="4"/>
        <v>236000000</v>
      </c>
      <c r="AE44" s="238">
        <f t="shared" si="28"/>
        <v>216000000</v>
      </c>
      <c r="AF44" s="17"/>
      <c r="AG44" s="239">
        <f t="shared" si="5"/>
        <v>131555555.55555555</v>
      </c>
      <c r="AH44" s="262">
        <f t="shared" si="29"/>
        <v>36835555.555555552</v>
      </c>
      <c r="AI44" s="240">
        <f t="shared" si="30"/>
        <v>47360000</v>
      </c>
      <c r="AJ44" s="241">
        <f t="shared" si="31"/>
        <v>47360000</v>
      </c>
      <c r="AL44" s="239">
        <f t="shared" si="44"/>
        <v>84444444.444444448</v>
      </c>
      <c r="AM44" s="17">
        <f t="shared" si="6"/>
        <v>43066666.666666672</v>
      </c>
      <c r="AN44" s="17">
        <f t="shared" si="32"/>
        <v>20688888.888888888</v>
      </c>
      <c r="AO44" s="233">
        <f t="shared" si="33"/>
        <v>20688888.888888888</v>
      </c>
      <c r="AQ44" s="242">
        <f t="shared" si="7"/>
        <v>315902222.22222227</v>
      </c>
      <c r="AR44" s="17">
        <f t="shared" si="8"/>
        <v>68048888.888888896</v>
      </c>
      <c r="AS44" s="233">
        <f t="shared" si="8"/>
        <v>68048888.888888896</v>
      </c>
      <c r="AU44" s="260">
        <f t="shared" si="45"/>
        <v>0.10708549905838043</v>
      </c>
      <c r="AW44" s="244">
        <f t="shared" si="9"/>
        <v>0.2321219226260258</v>
      </c>
      <c r="AY44" s="238">
        <f t="shared" si="41"/>
        <v>-294951111.1111111</v>
      </c>
      <c r="BA44" s="19">
        <f t="shared" si="34"/>
        <v>94000000</v>
      </c>
      <c r="BB44" s="19">
        <f t="shared" si="35"/>
        <v>61100000</v>
      </c>
      <c r="BC44" s="19">
        <f t="shared" si="10"/>
        <v>10810000</v>
      </c>
      <c r="BD44" s="19">
        <f t="shared" si="11"/>
        <v>470000</v>
      </c>
      <c r="BE44" s="19">
        <f t="shared" si="36"/>
        <v>21620000</v>
      </c>
    </row>
    <row r="45" spans="1:57">
      <c r="A45" s="81" t="s">
        <v>323</v>
      </c>
      <c r="B45" s="1">
        <v>2046</v>
      </c>
      <c r="C45" s="263">
        <v>4.0000000000000001E-3</v>
      </c>
      <c r="D45" s="264">
        <f t="shared" si="12"/>
        <v>676500000</v>
      </c>
      <c r="E45" s="344">
        <f t="shared" si="13"/>
        <v>947099999.99999988</v>
      </c>
      <c r="F45" s="676">
        <f t="shared" si="37"/>
        <v>63000000</v>
      </c>
      <c r="G45" s="16">
        <f t="shared" si="38"/>
        <v>777974999.99999988</v>
      </c>
      <c r="H45" s="19">
        <f t="shared" si="42"/>
        <v>560141999.99999988</v>
      </c>
      <c r="I45" s="16">
        <f t="shared" si="14"/>
        <v>169125000</v>
      </c>
      <c r="J45" s="19">
        <f t="shared" si="15"/>
        <v>97416000</v>
      </c>
      <c r="K45" s="16">
        <f t="shared" si="16"/>
        <v>0</v>
      </c>
      <c r="L45" s="25">
        <f t="shared" si="17"/>
        <v>0</v>
      </c>
      <c r="M45" s="229">
        <f t="shared" si="18"/>
        <v>658000000</v>
      </c>
      <c r="N45" s="230">
        <f t="shared" si="19"/>
        <v>199000000</v>
      </c>
      <c r="O45" s="231">
        <f t="shared" si="20"/>
        <v>459000000</v>
      </c>
      <c r="P45" s="232">
        <f t="shared" si="39"/>
        <v>30000000</v>
      </c>
      <c r="Q45" s="233">
        <f t="shared" si="21"/>
        <v>429000000</v>
      </c>
      <c r="R45" s="659">
        <f t="shared" si="22"/>
        <v>365000000</v>
      </c>
      <c r="S45" s="664">
        <f t="shared" si="40"/>
        <v>64000000</v>
      </c>
      <c r="T45" s="234">
        <f t="shared" si="23"/>
        <v>94000000</v>
      </c>
      <c r="U45" s="124">
        <f t="shared" si="24"/>
        <v>7.2857142857142856</v>
      </c>
      <c r="V45" s="124">
        <f t="shared" si="25"/>
        <v>0.69475240206947531</v>
      </c>
      <c r="X45" s="379">
        <f t="shared" si="26"/>
        <v>658000000</v>
      </c>
      <c r="Y45" s="235">
        <v>12000000</v>
      </c>
      <c r="Z45" s="19">
        <v>5000000</v>
      </c>
      <c r="AA45" s="236">
        <f t="shared" si="43"/>
        <v>-220000000</v>
      </c>
      <c r="AB45" s="237">
        <f t="shared" si="27"/>
        <v>455000000</v>
      </c>
      <c r="AD45" s="238">
        <f t="shared" si="4"/>
        <v>236000000</v>
      </c>
      <c r="AE45" s="238">
        <f t="shared" si="28"/>
        <v>219000000</v>
      </c>
      <c r="AF45" s="17"/>
      <c r="AG45" s="239">
        <f t="shared" si="5"/>
        <v>131555555.55555555</v>
      </c>
      <c r="AH45" s="262">
        <f t="shared" si="29"/>
        <v>36835555.555555552</v>
      </c>
      <c r="AI45" s="240">
        <f t="shared" si="30"/>
        <v>47360000</v>
      </c>
      <c r="AJ45" s="241">
        <f t="shared" si="31"/>
        <v>47360000</v>
      </c>
      <c r="AL45" s="239">
        <f t="shared" si="44"/>
        <v>87444444.444444448</v>
      </c>
      <c r="AM45" s="17">
        <f t="shared" si="6"/>
        <v>44596666.666666672</v>
      </c>
      <c r="AN45" s="17">
        <f t="shared" si="32"/>
        <v>21423888.888888888</v>
      </c>
      <c r="AO45" s="233">
        <f t="shared" si="33"/>
        <v>21423888.888888888</v>
      </c>
      <c r="AQ45" s="242">
        <f t="shared" si="7"/>
        <v>317432222.22222227</v>
      </c>
      <c r="AR45" s="17">
        <f t="shared" si="8"/>
        <v>68783888.888888896</v>
      </c>
      <c r="AS45" s="233">
        <f t="shared" si="8"/>
        <v>68783888.888888896</v>
      </c>
      <c r="AU45" s="260">
        <f t="shared" si="45"/>
        <v>0.10760414312617704</v>
      </c>
      <c r="AW45" s="244">
        <f t="shared" si="9"/>
        <v>0.2322053675612602</v>
      </c>
      <c r="AY45" s="238">
        <f t="shared" si="41"/>
        <v>-296216111.1111111</v>
      </c>
      <c r="BA45" s="19">
        <f t="shared" si="34"/>
        <v>94000000</v>
      </c>
      <c r="BB45" s="19">
        <f t="shared" si="35"/>
        <v>61100000</v>
      </c>
      <c r="BC45" s="19">
        <f t="shared" si="10"/>
        <v>10810000</v>
      </c>
      <c r="BD45" s="19">
        <f t="shared" si="11"/>
        <v>470000</v>
      </c>
      <c r="BE45" s="19">
        <f t="shared" si="36"/>
        <v>21620000</v>
      </c>
    </row>
    <row r="46" spans="1:57">
      <c r="A46" s="81" t="s">
        <v>324</v>
      </c>
      <c r="B46" s="1">
        <v>2047</v>
      </c>
      <c r="C46" s="263">
        <v>4.0000000000000001E-3</v>
      </c>
      <c r="D46" s="264">
        <f t="shared" si="12"/>
        <v>679200000</v>
      </c>
      <c r="E46" s="344">
        <f t="shared" si="13"/>
        <v>950879999.99999988</v>
      </c>
      <c r="F46" s="676">
        <f t="shared" si="37"/>
        <v>63000000</v>
      </c>
      <c r="G46" s="16">
        <f>IF(E46&gt;D46*1.15,D46*1.15,E46)</f>
        <v>781079999.99999988</v>
      </c>
      <c r="H46" s="19">
        <f t="shared" si="42"/>
        <v>562377599.99999988</v>
      </c>
      <c r="I46" s="16">
        <f>IF(E46&gt;D46*1.4,D46*0.25,E46-G46)</f>
        <v>169800000</v>
      </c>
      <c r="J46" s="19">
        <f t="shared" si="15"/>
        <v>97804800</v>
      </c>
      <c r="K46" s="16">
        <f>IF(E46&gt;D46*1.4,E46-D46*1.4,0)</f>
        <v>0</v>
      </c>
      <c r="L46" s="25">
        <f t="shared" si="17"/>
        <v>0</v>
      </c>
      <c r="M46" s="229">
        <f t="shared" si="18"/>
        <v>660000000</v>
      </c>
      <c r="N46" s="230">
        <f t="shared" si="19"/>
        <v>200000000</v>
      </c>
      <c r="O46" s="231">
        <f t="shared" si="20"/>
        <v>460000000</v>
      </c>
      <c r="P46" s="232">
        <f t="shared" si="39"/>
        <v>30000000</v>
      </c>
      <c r="Q46" s="233">
        <f t="shared" si="21"/>
        <v>430000000</v>
      </c>
      <c r="R46" s="659">
        <f t="shared" si="22"/>
        <v>366000000</v>
      </c>
      <c r="S46" s="664">
        <f t="shared" si="40"/>
        <v>65000000</v>
      </c>
      <c r="T46" s="234">
        <f t="shared" si="23"/>
        <v>95000000</v>
      </c>
      <c r="U46" s="124">
        <f t="shared" si="24"/>
        <v>7.3015873015873014</v>
      </c>
      <c r="V46" s="124">
        <f t="shared" si="25"/>
        <v>0.69409389197375071</v>
      </c>
      <c r="X46" s="379">
        <f t="shared" si="26"/>
        <v>660000000</v>
      </c>
      <c r="Y46" s="235">
        <v>12000000</v>
      </c>
      <c r="Z46" s="19">
        <v>5000000</v>
      </c>
      <c r="AA46" s="236">
        <f t="shared" si="43"/>
        <v>-220000000</v>
      </c>
      <c r="AB46" s="237">
        <f t="shared" si="27"/>
        <v>457000000</v>
      </c>
      <c r="AD46" s="238">
        <f t="shared" si="4"/>
        <v>236000000</v>
      </c>
      <c r="AE46" s="238">
        <f t="shared" si="28"/>
        <v>221000000</v>
      </c>
      <c r="AF46" s="17"/>
      <c r="AG46" s="239">
        <f t="shared" si="5"/>
        <v>131555555.55555555</v>
      </c>
      <c r="AH46" s="262">
        <f t="shared" si="29"/>
        <v>36835555.555555552</v>
      </c>
      <c r="AI46" s="240">
        <f t="shared" si="30"/>
        <v>47360000</v>
      </c>
      <c r="AJ46" s="241">
        <f t="shared" si="31"/>
        <v>47360000</v>
      </c>
      <c r="AL46" s="239">
        <f t="shared" si="44"/>
        <v>89444444.444444448</v>
      </c>
      <c r="AM46" s="17">
        <f t="shared" si="6"/>
        <v>45616666.666666672</v>
      </c>
      <c r="AN46" s="17">
        <f t="shared" si="32"/>
        <v>21913888.888888888</v>
      </c>
      <c r="AO46" s="233">
        <f t="shared" si="33"/>
        <v>21913888.888888888</v>
      </c>
      <c r="AQ46" s="242">
        <f t="shared" si="7"/>
        <v>318452222.22222227</v>
      </c>
      <c r="AR46" s="17">
        <f t="shared" si="8"/>
        <v>69273888.888888896</v>
      </c>
      <c r="AS46" s="233">
        <f t="shared" si="8"/>
        <v>69273888.888888896</v>
      </c>
      <c r="AU46" s="260">
        <f t="shared" si="45"/>
        <v>0.10794990583804144</v>
      </c>
      <c r="AW46" s="244">
        <f t="shared" si="9"/>
        <v>0.23255813953488372</v>
      </c>
      <c r="AY46" s="238">
        <f t="shared" si="41"/>
        <v>-296726111.1111111</v>
      </c>
      <c r="BA46" s="19">
        <f t="shared" si="34"/>
        <v>95000000</v>
      </c>
      <c r="BB46" s="19">
        <f t="shared" si="35"/>
        <v>61750000</v>
      </c>
      <c r="BC46" s="19">
        <f t="shared" si="10"/>
        <v>10925000</v>
      </c>
      <c r="BD46" s="19">
        <f t="shared" si="11"/>
        <v>475000</v>
      </c>
      <c r="BE46" s="19">
        <f t="shared" si="36"/>
        <v>21850000</v>
      </c>
    </row>
    <row r="47" spans="1:57">
      <c r="A47" s="81" t="s">
        <v>325</v>
      </c>
      <c r="B47" s="1">
        <v>2048</v>
      </c>
      <c r="C47" s="263">
        <v>4.0000000000000001E-3</v>
      </c>
      <c r="D47" s="264">
        <f t="shared" si="12"/>
        <v>681900000</v>
      </c>
      <c r="E47" s="344">
        <f t="shared" si="13"/>
        <v>954659999.99999988</v>
      </c>
      <c r="F47" s="676">
        <f t="shared" si="37"/>
        <v>64000000</v>
      </c>
      <c r="G47" s="16">
        <f t="shared" si="38"/>
        <v>784184999.99999988</v>
      </c>
      <c r="H47" s="19">
        <f t="shared" si="42"/>
        <v>564613199.99999988</v>
      </c>
      <c r="I47" s="16">
        <f t="shared" si="14"/>
        <v>170475000</v>
      </c>
      <c r="J47" s="19">
        <f t="shared" si="15"/>
        <v>98193600</v>
      </c>
      <c r="K47" s="16">
        <f t="shared" si="16"/>
        <v>0</v>
      </c>
      <c r="L47" s="25">
        <f t="shared" si="17"/>
        <v>0</v>
      </c>
      <c r="M47" s="229">
        <f t="shared" si="18"/>
        <v>663000000</v>
      </c>
      <c r="N47" s="230">
        <f t="shared" si="19"/>
        <v>200000000</v>
      </c>
      <c r="O47" s="231">
        <f t="shared" si="20"/>
        <v>463000000</v>
      </c>
      <c r="P47" s="232">
        <f t="shared" si="39"/>
        <v>30000000</v>
      </c>
      <c r="Q47" s="233">
        <f t="shared" si="21"/>
        <v>433000000</v>
      </c>
      <c r="R47" s="659">
        <f t="shared" si="22"/>
        <v>368000000</v>
      </c>
      <c r="S47" s="664">
        <f t="shared" si="40"/>
        <v>65000000</v>
      </c>
      <c r="T47" s="234">
        <f t="shared" si="23"/>
        <v>95000000</v>
      </c>
      <c r="U47" s="124">
        <f t="shared" si="24"/>
        <v>7.234375</v>
      </c>
      <c r="V47" s="124">
        <f t="shared" si="25"/>
        <v>0.69448809000062861</v>
      </c>
      <c r="X47" s="379">
        <f t="shared" si="26"/>
        <v>663000000</v>
      </c>
      <c r="Y47" s="235">
        <v>12000000</v>
      </c>
      <c r="Z47" s="19">
        <v>5000000</v>
      </c>
      <c r="AA47" s="236">
        <f t="shared" si="43"/>
        <v>-220000000</v>
      </c>
      <c r="AB47" s="237">
        <f t="shared" si="27"/>
        <v>460000000</v>
      </c>
      <c r="AD47" s="238">
        <f t="shared" si="4"/>
        <v>236000000</v>
      </c>
      <c r="AE47" s="238">
        <f t="shared" si="28"/>
        <v>224000000</v>
      </c>
      <c r="AF47" s="17"/>
      <c r="AG47" s="239">
        <f t="shared" si="5"/>
        <v>131555555.55555555</v>
      </c>
      <c r="AH47" s="262">
        <f t="shared" si="29"/>
        <v>36835555.555555552</v>
      </c>
      <c r="AI47" s="240">
        <f t="shared" si="30"/>
        <v>47360000</v>
      </c>
      <c r="AJ47" s="241">
        <f t="shared" si="31"/>
        <v>47360000</v>
      </c>
      <c r="AL47" s="239">
        <f t="shared" si="44"/>
        <v>92444444.444444448</v>
      </c>
      <c r="AM47" s="17">
        <f t="shared" si="6"/>
        <v>47146666.666666672</v>
      </c>
      <c r="AN47" s="17">
        <f t="shared" si="32"/>
        <v>22648888.888888888</v>
      </c>
      <c r="AO47" s="233">
        <f t="shared" si="33"/>
        <v>22648888.888888888</v>
      </c>
      <c r="AQ47" s="242">
        <f t="shared" si="7"/>
        <v>319982222.22222227</v>
      </c>
      <c r="AR47" s="17">
        <f t="shared" si="8"/>
        <v>70008888.888888896</v>
      </c>
      <c r="AS47" s="233">
        <f t="shared" si="8"/>
        <v>70008888.888888896</v>
      </c>
      <c r="AU47" s="260">
        <f t="shared" si="45"/>
        <v>0.10846854990583805</v>
      </c>
      <c r="AW47" s="244">
        <f t="shared" si="9"/>
        <v>0.23174971031286212</v>
      </c>
      <c r="AY47" s="238">
        <f t="shared" si="41"/>
        <v>-297991111.1111111</v>
      </c>
      <c r="BA47" s="19">
        <f t="shared" si="34"/>
        <v>95000000</v>
      </c>
      <c r="BB47" s="19">
        <f t="shared" si="35"/>
        <v>61750000</v>
      </c>
      <c r="BC47" s="19">
        <f t="shared" si="10"/>
        <v>10925000</v>
      </c>
      <c r="BD47" s="19">
        <f t="shared" si="11"/>
        <v>475000</v>
      </c>
      <c r="BE47" s="19">
        <f t="shared" si="36"/>
        <v>21850000</v>
      </c>
    </row>
    <row r="48" spans="1:57">
      <c r="A48" s="81" t="s">
        <v>326</v>
      </c>
      <c r="B48" s="1">
        <v>2049</v>
      </c>
      <c r="C48" s="263">
        <v>4.0000000000000001E-3</v>
      </c>
      <c r="D48" s="264">
        <f t="shared" si="12"/>
        <v>684600000</v>
      </c>
      <c r="E48" s="344">
        <f t="shared" si="13"/>
        <v>958439999.99999988</v>
      </c>
      <c r="F48" s="676">
        <f t="shared" si="37"/>
        <v>64000000</v>
      </c>
      <c r="G48" s="16">
        <f t="shared" si="38"/>
        <v>787289999.99999988</v>
      </c>
      <c r="H48" s="19">
        <f t="shared" si="42"/>
        <v>566848799.99999988</v>
      </c>
      <c r="I48" s="16">
        <f t="shared" si="14"/>
        <v>171150000</v>
      </c>
      <c r="J48" s="19">
        <f t="shared" si="15"/>
        <v>98582400</v>
      </c>
      <c r="K48" s="16">
        <f t="shared" si="16"/>
        <v>0</v>
      </c>
      <c r="L48" s="25">
        <f t="shared" si="17"/>
        <v>0</v>
      </c>
      <c r="M48" s="229">
        <f t="shared" si="18"/>
        <v>665000000</v>
      </c>
      <c r="N48" s="230">
        <f t="shared" si="19"/>
        <v>201000000</v>
      </c>
      <c r="O48" s="231">
        <f t="shared" si="20"/>
        <v>464000000</v>
      </c>
      <c r="P48" s="232">
        <f t="shared" si="39"/>
        <v>30000000</v>
      </c>
      <c r="Q48" s="233">
        <f t="shared" si="21"/>
        <v>434000000</v>
      </c>
      <c r="R48" s="659">
        <f t="shared" si="22"/>
        <v>369000000</v>
      </c>
      <c r="S48" s="664">
        <f t="shared" si="40"/>
        <v>65000000</v>
      </c>
      <c r="T48" s="234">
        <f t="shared" si="23"/>
        <v>95000000</v>
      </c>
      <c r="U48" s="124">
        <f t="shared" si="24"/>
        <v>7.25</v>
      </c>
      <c r="V48" s="124">
        <f t="shared" si="25"/>
        <v>0.6938358165352031</v>
      </c>
      <c r="X48" s="379">
        <f t="shared" si="26"/>
        <v>665000000</v>
      </c>
      <c r="Y48" s="235">
        <v>12000000</v>
      </c>
      <c r="Z48" s="19">
        <v>5000000</v>
      </c>
      <c r="AA48" s="236">
        <f t="shared" si="43"/>
        <v>-220000000</v>
      </c>
      <c r="AB48" s="237">
        <f t="shared" si="27"/>
        <v>462000000</v>
      </c>
      <c r="AD48" s="238">
        <f t="shared" si="4"/>
        <v>236000000</v>
      </c>
      <c r="AE48" s="238">
        <f t="shared" si="28"/>
        <v>226000000</v>
      </c>
      <c r="AF48" s="17"/>
      <c r="AG48" s="239">
        <f t="shared" si="5"/>
        <v>131555555.55555555</v>
      </c>
      <c r="AH48" s="262">
        <f t="shared" si="29"/>
        <v>36835555.555555552</v>
      </c>
      <c r="AI48" s="240">
        <f t="shared" si="30"/>
        <v>47360000</v>
      </c>
      <c r="AJ48" s="241">
        <f t="shared" si="31"/>
        <v>47360000</v>
      </c>
      <c r="AL48" s="239">
        <f t="shared" si="44"/>
        <v>94444444.444444448</v>
      </c>
      <c r="AM48" s="17">
        <f t="shared" si="6"/>
        <v>48166666.666666672</v>
      </c>
      <c r="AN48" s="17">
        <f t="shared" si="32"/>
        <v>23138888.888888888</v>
      </c>
      <c r="AO48" s="233">
        <f t="shared" si="33"/>
        <v>23138888.888888888</v>
      </c>
      <c r="AQ48" s="242">
        <f t="shared" si="7"/>
        <v>321002222.22222227</v>
      </c>
      <c r="AR48" s="17">
        <f t="shared" si="8"/>
        <v>70498888.888888896</v>
      </c>
      <c r="AS48" s="233">
        <f t="shared" si="8"/>
        <v>70498888.888888896</v>
      </c>
      <c r="AU48" s="260">
        <f t="shared" si="45"/>
        <v>0.10881431261770247</v>
      </c>
      <c r="AW48" s="244">
        <f t="shared" si="9"/>
        <v>0.23210161662817552</v>
      </c>
      <c r="AY48" s="238">
        <f t="shared" si="41"/>
        <v>-298501111.1111111</v>
      </c>
      <c r="BA48" s="19">
        <f t="shared" si="34"/>
        <v>95000000</v>
      </c>
      <c r="BB48" s="19">
        <f t="shared" si="35"/>
        <v>61750000</v>
      </c>
      <c r="BC48" s="19">
        <f t="shared" si="10"/>
        <v>10925000</v>
      </c>
      <c r="BD48" s="19">
        <f t="shared" si="11"/>
        <v>475000</v>
      </c>
      <c r="BE48" s="19">
        <f t="shared" si="36"/>
        <v>21850000</v>
      </c>
    </row>
    <row r="49" spans="1:57">
      <c r="A49" s="81" t="s">
        <v>382</v>
      </c>
      <c r="B49" s="1">
        <v>2050</v>
      </c>
      <c r="C49" s="263">
        <v>4.0000000000000001E-3</v>
      </c>
      <c r="D49" s="264">
        <f>ROUND(D48*(100%+C49),-5)</f>
        <v>687300000</v>
      </c>
      <c r="E49" s="344">
        <f t="shared" si="13"/>
        <v>962219999.99999988</v>
      </c>
      <c r="F49" s="676">
        <f t="shared" si="37"/>
        <v>64000000</v>
      </c>
      <c r="G49" s="16">
        <f>IF(E49&gt;D49*1.15,D49*1.15,E49)</f>
        <v>790394999.99999988</v>
      </c>
      <c r="H49" s="19">
        <f t="shared" si="42"/>
        <v>569084399.99999988</v>
      </c>
      <c r="I49" s="16">
        <f>IF(E49&gt;D49*1.4,D49*0.25,E49-G49)</f>
        <v>171825000</v>
      </c>
      <c r="J49" s="19">
        <f t="shared" si="15"/>
        <v>98971199.999999985</v>
      </c>
      <c r="K49" s="16">
        <f>IF(E49&gt;D49*1.4,E49-D49*1.4,0)</f>
        <v>0</v>
      </c>
      <c r="L49" s="25">
        <f t="shared" si="17"/>
        <v>0</v>
      </c>
      <c r="M49" s="229">
        <f t="shared" si="18"/>
        <v>668000000</v>
      </c>
      <c r="N49" s="230">
        <f t="shared" si="19"/>
        <v>202000000</v>
      </c>
      <c r="O49" s="231">
        <f t="shared" si="20"/>
        <v>466000000</v>
      </c>
      <c r="P49" s="232">
        <f t="shared" si="39"/>
        <v>30000000</v>
      </c>
      <c r="Q49" s="233">
        <f t="shared" si="21"/>
        <v>436000000</v>
      </c>
      <c r="R49" s="659">
        <f t="shared" si="22"/>
        <v>371000000</v>
      </c>
      <c r="S49" s="664">
        <f t="shared" si="40"/>
        <v>65000000</v>
      </c>
      <c r="T49" s="234">
        <f t="shared" si="23"/>
        <v>95000000</v>
      </c>
      <c r="U49" s="124">
        <f t="shared" si="24"/>
        <v>7.28125</v>
      </c>
      <c r="V49" s="124">
        <f t="shared" si="25"/>
        <v>0.69422793124233551</v>
      </c>
      <c r="X49" s="379">
        <f t="shared" si="26"/>
        <v>668000000</v>
      </c>
      <c r="Y49" s="235">
        <v>12000000</v>
      </c>
      <c r="Z49" s="19">
        <v>5000000</v>
      </c>
      <c r="AA49" s="236">
        <f t="shared" si="43"/>
        <v>-220000000</v>
      </c>
      <c r="AB49" s="237">
        <f t="shared" si="27"/>
        <v>465000000</v>
      </c>
      <c r="AD49" s="238">
        <f t="shared" si="4"/>
        <v>236000000</v>
      </c>
      <c r="AE49" s="238">
        <f t="shared" si="28"/>
        <v>229000000</v>
      </c>
      <c r="AF49" s="17"/>
      <c r="AG49" s="239">
        <f t="shared" si="5"/>
        <v>131555555.55555555</v>
      </c>
      <c r="AH49" s="262">
        <f t="shared" si="29"/>
        <v>36835555.555555552</v>
      </c>
      <c r="AI49" s="240">
        <f t="shared" si="30"/>
        <v>47360000</v>
      </c>
      <c r="AJ49" s="241">
        <f t="shared" si="31"/>
        <v>47360000</v>
      </c>
      <c r="AL49" s="239">
        <f t="shared" si="44"/>
        <v>97444444.444444448</v>
      </c>
      <c r="AM49" s="17">
        <f t="shared" si="6"/>
        <v>49696666.666666672</v>
      </c>
      <c r="AN49" s="17">
        <f t="shared" si="32"/>
        <v>23873888.888888888</v>
      </c>
      <c r="AO49" s="233">
        <f t="shared" si="33"/>
        <v>23873888.888888888</v>
      </c>
      <c r="AQ49" s="242">
        <f t="shared" si="7"/>
        <v>322532222.22222227</v>
      </c>
      <c r="AR49" s="17">
        <f t="shared" ref="AR49:AS64" si="46">AI49+AN49</f>
        <v>71233888.888888896</v>
      </c>
      <c r="AS49" s="233">
        <f t="shared" si="46"/>
        <v>71233888.888888896</v>
      </c>
      <c r="AU49" s="260">
        <f t="shared" si="45"/>
        <v>0.10933295668549907</v>
      </c>
      <c r="AW49" s="244">
        <f t="shared" si="9"/>
        <v>0.23218390804597702</v>
      </c>
      <c r="AY49" s="238">
        <f t="shared" si="41"/>
        <v>-299766111.1111111</v>
      </c>
      <c r="BA49" s="19">
        <f t="shared" si="34"/>
        <v>95000000</v>
      </c>
      <c r="BB49" s="19">
        <f t="shared" si="35"/>
        <v>61750000</v>
      </c>
      <c r="BC49" s="19">
        <f t="shared" si="10"/>
        <v>10925000</v>
      </c>
      <c r="BD49" s="19">
        <f t="shared" si="11"/>
        <v>475000</v>
      </c>
      <c r="BE49" s="19">
        <f t="shared" si="36"/>
        <v>21850000</v>
      </c>
    </row>
    <row r="50" spans="1:57">
      <c r="A50" s="81" t="s">
        <v>384</v>
      </c>
      <c r="B50" s="1">
        <v>2051</v>
      </c>
      <c r="C50" s="263">
        <v>4.0000000000000001E-3</v>
      </c>
      <c r="D50" s="264">
        <f t="shared" ref="D50:D113" si="47">ROUND(D49*(100%+C50),-5)</f>
        <v>690000000</v>
      </c>
      <c r="E50" s="344">
        <f t="shared" si="13"/>
        <v>965999999.99999988</v>
      </c>
      <c r="F50" s="676">
        <f t="shared" si="37"/>
        <v>64000000</v>
      </c>
      <c r="G50" s="16">
        <f t="shared" si="38"/>
        <v>793499999.99999988</v>
      </c>
      <c r="H50" s="19">
        <f t="shared" si="42"/>
        <v>571319999.99999988</v>
      </c>
      <c r="I50" s="16">
        <f t="shared" si="14"/>
        <v>172500000</v>
      </c>
      <c r="J50" s="19">
        <f t="shared" si="15"/>
        <v>99359999.999999985</v>
      </c>
      <c r="K50" s="16">
        <f t="shared" si="16"/>
        <v>0</v>
      </c>
      <c r="L50" s="25">
        <f t="shared" si="17"/>
        <v>0</v>
      </c>
      <c r="M50" s="229">
        <f t="shared" si="18"/>
        <v>671000000</v>
      </c>
      <c r="N50" s="230">
        <f t="shared" si="19"/>
        <v>203000000</v>
      </c>
      <c r="O50" s="231">
        <f t="shared" si="20"/>
        <v>468000000</v>
      </c>
      <c r="P50" s="265">
        <f t="shared" si="39"/>
        <v>30000000</v>
      </c>
      <c r="Q50" s="233">
        <f t="shared" si="21"/>
        <v>438000000</v>
      </c>
      <c r="R50" s="659">
        <f t="shared" si="22"/>
        <v>372000000</v>
      </c>
      <c r="S50" s="665">
        <f t="shared" si="40"/>
        <v>66000000</v>
      </c>
      <c r="T50" s="266">
        <f t="shared" si="23"/>
        <v>96000000</v>
      </c>
      <c r="U50" s="124">
        <f t="shared" si="24"/>
        <v>7.3125</v>
      </c>
      <c r="V50" s="124">
        <f t="shared" si="25"/>
        <v>0.69461697722567295</v>
      </c>
      <c r="X50" s="379">
        <f t="shared" si="26"/>
        <v>671000000</v>
      </c>
      <c r="Y50" s="235">
        <v>12000000</v>
      </c>
      <c r="Z50" s="19">
        <v>5000000</v>
      </c>
      <c r="AA50" s="236">
        <f t="shared" si="43"/>
        <v>-220000000</v>
      </c>
      <c r="AB50" s="237">
        <f t="shared" si="27"/>
        <v>468000000</v>
      </c>
      <c r="AD50" s="238">
        <f t="shared" si="4"/>
        <v>236000000</v>
      </c>
      <c r="AE50" s="238">
        <f t="shared" si="28"/>
        <v>232000000</v>
      </c>
      <c r="AF50" s="17"/>
      <c r="AG50" s="239">
        <f t="shared" si="5"/>
        <v>131555555.55555555</v>
      </c>
      <c r="AH50" s="262">
        <f t="shared" si="29"/>
        <v>36835555.555555552</v>
      </c>
      <c r="AI50" s="240">
        <f t="shared" si="30"/>
        <v>47360000</v>
      </c>
      <c r="AJ50" s="241">
        <f t="shared" si="31"/>
        <v>47360000</v>
      </c>
      <c r="AL50" s="239">
        <f t="shared" si="44"/>
        <v>100444444.44444445</v>
      </c>
      <c r="AM50" s="17">
        <f t="shared" si="6"/>
        <v>51226666.666666672</v>
      </c>
      <c r="AN50" s="17">
        <f t="shared" si="32"/>
        <v>24608888.888888888</v>
      </c>
      <c r="AO50" s="233">
        <f t="shared" si="33"/>
        <v>24608888.888888888</v>
      </c>
      <c r="AQ50" s="242">
        <f t="shared" si="7"/>
        <v>324062222.22222227</v>
      </c>
      <c r="AR50" s="17">
        <f t="shared" si="46"/>
        <v>71968888.888888896</v>
      </c>
      <c r="AS50" s="233">
        <f t="shared" si="46"/>
        <v>71968888.888888896</v>
      </c>
      <c r="AU50" s="260">
        <f t="shared" si="45"/>
        <v>0.10985160075329568</v>
      </c>
      <c r="AW50" s="244">
        <f t="shared" si="9"/>
        <v>0.23226544622425629</v>
      </c>
      <c r="AY50" s="238">
        <f t="shared" si="41"/>
        <v>-300031111.1111111</v>
      </c>
      <c r="BA50" s="19">
        <f t="shared" si="34"/>
        <v>96000000</v>
      </c>
      <c r="BB50" s="19">
        <f t="shared" si="35"/>
        <v>62400000</v>
      </c>
      <c r="BC50" s="19">
        <f t="shared" si="10"/>
        <v>11040000</v>
      </c>
      <c r="BD50" s="19">
        <f t="shared" si="11"/>
        <v>480000</v>
      </c>
      <c r="BE50" s="19">
        <f t="shared" si="36"/>
        <v>22080000</v>
      </c>
    </row>
    <row r="51" spans="1:57">
      <c r="A51" s="81" t="s">
        <v>327</v>
      </c>
      <c r="B51" s="1">
        <v>2052</v>
      </c>
      <c r="C51" s="263">
        <v>4.0000000000000001E-3</v>
      </c>
      <c r="D51" s="264">
        <f t="shared" si="47"/>
        <v>692800000</v>
      </c>
      <c r="E51" s="344">
        <f t="shared" si="13"/>
        <v>969919999.99999988</v>
      </c>
      <c r="F51" s="676">
        <f t="shared" si="37"/>
        <v>65000000</v>
      </c>
      <c r="G51" s="16">
        <f t="shared" si="38"/>
        <v>796719999.99999988</v>
      </c>
      <c r="H51" s="19">
        <f t="shared" si="42"/>
        <v>573638399.99999988</v>
      </c>
      <c r="I51" s="16">
        <f t="shared" si="14"/>
        <v>173200000</v>
      </c>
      <c r="J51" s="19">
        <f t="shared" si="15"/>
        <v>99763199.999999985</v>
      </c>
      <c r="K51" s="16">
        <f t="shared" si="16"/>
        <v>0</v>
      </c>
      <c r="L51" s="25">
        <f t="shared" si="17"/>
        <v>0</v>
      </c>
      <c r="M51" s="229">
        <f t="shared" si="18"/>
        <v>673000000</v>
      </c>
      <c r="N51" s="230">
        <f t="shared" si="19"/>
        <v>204000000</v>
      </c>
      <c r="O51" s="231">
        <f t="shared" si="20"/>
        <v>469000000</v>
      </c>
      <c r="P51" s="265">
        <f t="shared" si="39"/>
        <v>30000000</v>
      </c>
      <c r="Q51" s="233">
        <f t="shared" si="21"/>
        <v>439000000</v>
      </c>
      <c r="R51" s="659">
        <f t="shared" si="22"/>
        <v>373000000</v>
      </c>
      <c r="S51" s="665">
        <f t="shared" si="40"/>
        <v>66000000</v>
      </c>
      <c r="T51" s="266">
        <f t="shared" si="23"/>
        <v>96000000</v>
      </c>
      <c r="U51" s="124">
        <f t="shared" si="24"/>
        <v>7.2153846153846155</v>
      </c>
      <c r="V51" s="124">
        <f t="shared" si="25"/>
        <v>0.69387165951831087</v>
      </c>
      <c r="X51" s="379">
        <f t="shared" si="26"/>
        <v>673000000</v>
      </c>
      <c r="Y51" s="235">
        <v>12000000</v>
      </c>
      <c r="Z51" s="19">
        <v>5000000</v>
      </c>
      <c r="AA51" s="236">
        <f t="shared" si="43"/>
        <v>-220000000</v>
      </c>
      <c r="AB51" s="237">
        <f t="shared" si="27"/>
        <v>470000000</v>
      </c>
      <c r="AD51" s="238">
        <f t="shared" si="4"/>
        <v>236000000</v>
      </c>
      <c r="AE51" s="238">
        <f t="shared" si="28"/>
        <v>234000000</v>
      </c>
      <c r="AF51" s="17"/>
      <c r="AG51" s="239">
        <f t="shared" si="5"/>
        <v>131555555.55555555</v>
      </c>
      <c r="AH51" s="262">
        <f t="shared" si="29"/>
        <v>36835555.555555552</v>
      </c>
      <c r="AI51" s="240">
        <f t="shared" si="30"/>
        <v>47360000</v>
      </c>
      <c r="AJ51" s="241">
        <f t="shared" si="31"/>
        <v>47360000</v>
      </c>
      <c r="AL51" s="239">
        <f t="shared" si="44"/>
        <v>102444444.44444445</v>
      </c>
      <c r="AM51" s="17">
        <f t="shared" si="6"/>
        <v>52246666.666666672</v>
      </c>
      <c r="AN51" s="17">
        <f t="shared" si="32"/>
        <v>25098888.888888888</v>
      </c>
      <c r="AO51" s="233">
        <f t="shared" si="33"/>
        <v>25098888.888888888</v>
      </c>
      <c r="AQ51" s="242">
        <f t="shared" si="7"/>
        <v>325082222.22222227</v>
      </c>
      <c r="AR51" s="17">
        <f t="shared" si="46"/>
        <v>72458888.888888896</v>
      </c>
      <c r="AS51" s="233">
        <f t="shared" si="46"/>
        <v>72458888.888888896</v>
      </c>
      <c r="AU51" s="260">
        <f t="shared" si="45"/>
        <v>0.1101973634651601</v>
      </c>
      <c r="AW51" s="244">
        <f t="shared" si="9"/>
        <v>0.23261117445838084</v>
      </c>
      <c r="AY51" s="238">
        <f t="shared" si="41"/>
        <v>-300541111.1111111</v>
      </c>
      <c r="BA51" s="19">
        <f t="shared" si="34"/>
        <v>96000000</v>
      </c>
      <c r="BB51" s="19">
        <f t="shared" si="35"/>
        <v>62400000</v>
      </c>
      <c r="BC51" s="19">
        <f t="shared" si="10"/>
        <v>11040000</v>
      </c>
      <c r="BD51" s="19">
        <f t="shared" si="11"/>
        <v>480000</v>
      </c>
      <c r="BE51" s="19">
        <f t="shared" si="36"/>
        <v>22080000</v>
      </c>
    </row>
    <row r="52" spans="1:57">
      <c r="A52" s="81" t="s">
        <v>328</v>
      </c>
      <c r="B52" s="1">
        <v>2053</v>
      </c>
      <c r="C52" s="263">
        <v>4.0000000000000001E-3</v>
      </c>
      <c r="D52" s="264">
        <f t="shared" si="47"/>
        <v>695600000</v>
      </c>
      <c r="E52" s="344">
        <f t="shared" si="13"/>
        <v>973839999.99999988</v>
      </c>
      <c r="F52" s="676">
        <f t="shared" si="37"/>
        <v>65000000</v>
      </c>
      <c r="G52" s="16">
        <f t="shared" si="38"/>
        <v>799939999.99999988</v>
      </c>
      <c r="H52" s="19">
        <f t="shared" si="42"/>
        <v>575956799.99999988</v>
      </c>
      <c r="I52" s="16">
        <f t="shared" si="14"/>
        <v>173900000</v>
      </c>
      <c r="J52" s="19">
        <f t="shared" si="15"/>
        <v>100166399.99999999</v>
      </c>
      <c r="K52" s="16">
        <f t="shared" si="16"/>
        <v>0</v>
      </c>
      <c r="L52" s="25">
        <f t="shared" si="17"/>
        <v>0</v>
      </c>
      <c r="M52" s="229">
        <f t="shared" si="18"/>
        <v>676000000</v>
      </c>
      <c r="N52" s="230">
        <f t="shared" si="19"/>
        <v>205000000</v>
      </c>
      <c r="O52" s="231">
        <f t="shared" si="20"/>
        <v>471000000</v>
      </c>
      <c r="P52" s="265">
        <f t="shared" si="39"/>
        <v>30000000</v>
      </c>
      <c r="Q52" s="233">
        <f t="shared" si="21"/>
        <v>441000000</v>
      </c>
      <c r="R52" s="659">
        <f t="shared" si="22"/>
        <v>375000000</v>
      </c>
      <c r="S52" s="665">
        <f t="shared" si="40"/>
        <v>66000000</v>
      </c>
      <c r="T52" s="266">
        <f t="shared" si="23"/>
        <v>96000000</v>
      </c>
      <c r="U52" s="124">
        <f t="shared" si="24"/>
        <v>7.2461538461538462</v>
      </c>
      <c r="V52" s="124">
        <f t="shared" si="25"/>
        <v>0.6941592047975027</v>
      </c>
      <c r="X52" s="379">
        <f t="shared" si="26"/>
        <v>676000000</v>
      </c>
      <c r="Y52" s="235">
        <v>12000000</v>
      </c>
      <c r="Z52" s="19">
        <v>5000000</v>
      </c>
      <c r="AA52" s="236">
        <f t="shared" si="43"/>
        <v>-220000000</v>
      </c>
      <c r="AB52" s="237">
        <f t="shared" si="27"/>
        <v>473000000</v>
      </c>
      <c r="AD52" s="238">
        <f t="shared" si="4"/>
        <v>236000000</v>
      </c>
      <c r="AE52" s="238">
        <f t="shared" si="28"/>
        <v>237000000</v>
      </c>
      <c r="AF52" s="17"/>
      <c r="AG52" s="239">
        <f t="shared" si="5"/>
        <v>131555555.55555555</v>
      </c>
      <c r="AH52" s="262">
        <f t="shared" si="29"/>
        <v>36835555.555555552</v>
      </c>
      <c r="AI52" s="240">
        <f t="shared" si="30"/>
        <v>47360000</v>
      </c>
      <c r="AJ52" s="241">
        <f t="shared" si="31"/>
        <v>47360000</v>
      </c>
      <c r="AL52" s="239">
        <f t="shared" si="44"/>
        <v>105444444.44444445</v>
      </c>
      <c r="AM52" s="17">
        <f t="shared" si="6"/>
        <v>53776666.666666672</v>
      </c>
      <c r="AN52" s="17">
        <f t="shared" si="32"/>
        <v>25833888.888888888</v>
      </c>
      <c r="AO52" s="233">
        <f t="shared" si="33"/>
        <v>25833888.888888888</v>
      </c>
      <c r="AQ52" s="242">
        <f t="shared" si="7"/>
        <v>326612222.22222227</v>
      </c>
      <c r="AR52" s="17">
        <f t="shared" si="46"/>
        <v>73193888.888888896</v>
      </c>
      <c r="AS52" s="233">
        <f t="shared" si="46"/>
        <v>73193888.888888896</v>
      </c>
      <c r="AU52" s="260">
        <f t="shared" si="45"/>
        <v>0.1107160075329567</v>
      </c>
      <c r="AW52" s="244">
        <f t="shared" si="9"/>
        <v>0.23269012485811577</v>
      </c>
      <c r="AY52" s="238">
        <f t="shared" si="41"/>
        <v>-301806111.1111111</v>
      </c>
      <c r="BA52" s="19">
        <f t="shared" si="34"/>
        <v>96000000</v>
      </c>
      <c r="BB52" s="19">
        <f t="shared" si="35"/>
        <v>62400000</v>
      </c>
      <c r="BC52" s="19">
        <f t="shared" si="10"/>
        <v>11040000</v>
      </c>
      <c r="BD52" s="19">
        <f t="shared" si="11"/>
        <v>480000</v>
      </c>
      <c r="BE52" s="19">
        <f t="shared" si="36"/>
        <v>22080000</v>
      </c>
    </row>
    <row r="53" spans="1:57">
      <c r="A53" s="81" t="s">
        <v>329</v>
      </c>
      <c r="B53" s="1">
        <v>2054</v>
      </c>
      <c r="C53" s="263">
        <v>4.0000000000000001E-3</v>
      </c>
      <c r="D53" s="264">
        <f t="shared" si="47"/>
        <v>698400000</v>
      </c>
      <c r="E53" s="344">
        <f t="shared" si="13"/>
        <v>977759999.99999988</v>
      </c>
      <c r="F53" s="676">
        <f t="shared" si="37"/>
        <v>65000000</v>
      </c>
      <c r="G53" s="16">
        <f t="shared" si="38"/>
        <v>803159999.99999988</v>
      </c>
      <c r="H53" s="19">
        <f t="shared" si="42"/>
        <v>578275199.99999988</v>
      </c>
      <c r="I53" s="16">
        <f t="shared" si="14"/>
        <v>174600000</v>
      </c>
      <c r="J53" s="19">
        <f t="shared" si="15"/>
        <v>100569599.99999999</v>
      </c>
      <c r="K53" s="16">
        <f t="shared" si="16"/>
        <v>0</v>
      </c>
      <c r="L53" s="25">
        <f t="shared" si="17"/>
        <v>0</v>
      </c>
      <c r="M53" s="229">
        <f t="shared" si="18"/>
        <v>679000000</v>
      </c>
      <c r="N53" s="230">
        <f t="shared" si="19"/>
        <v>205000000</v>
      </c>
      <c r="O53" s="231">
        <f t="shared" si="20"/>
        <v>474000000</v>
      </c>
      <c r="P53" s="265">
        <f t="shared" si="39"/>
        <v>30000000</v>
      </c>
      <c r="Q53" s="233">
        <f t="shared" si="21"/>
        <v>444000000</v>
      </c>
      <c r="R53" s="659">
        <f t="shared" si="22"/>
        <v>377000000</v>
      </c>
      <c r="S53" s="665">
        <f t="shared" si="40"/>
        <v>67000000</v>
      </c>
      <c r="T53" s="266">
        <f t="shared" si="23"/>
        <v>97000000</v>
      </c>
      <c r="U53" s="124">
        <f t="shared" si="24"/>
        <v>7.2923076923076922</v>
      </c>
      <c r="V53" s="124">
        <f t="shared" si="25"/>
        <v>0.69444444444444453</v>
      </c>
      <c r="X53" s="379">
        <f t="shared" si="26"/>
        <v>679000000</v>
      </c>
      <c r="Y53" s="235">
        <v>12000000</v>
      </c>
      <c r="Z53" s="19">
        <v>5000000</v>
      </c>
      <c r="AA53" s="236">
        <f t="shared" si="43"/>
        <v>-220000000</v>
      </c>
      <c r="AB53" s="237">
        <f t="shared" si="27"/>
        <v>476000000</v>
      </c>
      <c r="AD53" s="238">
        <f t="shared" si="4"/>
        <v>236000000</v>
      </c>
      <c r="AE53" s="238">
        <f t="shared" si="28"/>
        <v>240000000</v>
      </c>
      <c r="AF53" s="17"/>
      <c r="AG53" s="239">
        <f t="shared" si="5"/>
        <v>131555555.55555555</v>
      </c>
      <c r="AH53" s="262">
        <f t="shared" si="29"/>
        <v>36835555.555555552</v>
      </c>
      <c r="AI53" s="240">
        <f t="shared" si="30"/>
        <v>47360000</v>
      </c>
      <c r="AJ53" s="241">
        <f t="shared" si="31"/>
        <v>47360000</v>
      </c>
      <c r="AL53" s="239">
        <f t="shared" si="44"/>
        <v>108444444.44444445</v>
      </c>
      <c r="AM53" s="17">
        <f t="shared" si="6"/>
        <v>55306666.666666672</v>
      </c>
      <c r="AN53" s="17">
        <f t="shared" si="32"/>
        <v>26568888.888888888</v>
      </c>
      <c r="AO53" s="233">
        <f t="shared" si="33"/>
        <v>26568888.888888888</v>
      </c>
      <c r="AQ53" s="242">
        <f t="shared" si="7"/>
        <v>328142222.22222227</v>
      </c>
      <c r="AR53" s="17">
        <f>AI53+AN53</f>
        <v>73928888.888888896</v>
      </c>
      <c r="AS53" s="233">
        <f t="shared" si="46"/>
        <v>73928888.888888896</v>
      </c>
      <c r="AU53" s="260">
        <f t="shared" si="45"/>
        <v>0.11123465160075331</v>
      </c>
      <c r="AW53" s="244">
        <f t="shared" si="9"/>
        <v>0.23190045248868779</v>
      </c>
      <c r="AY53" s="238">
        <f t="shared" si="41"/>
        <v>-303071111.1111111</v>
      </c>
      <c r="BA53" s="19">
        <f t="shared" si="34"/>
        <v>97000000</v>
      </c>
      <c r="BB53" s="19">
        <f t="shared" si="35"/>
        <v>63050000</v>
      </c>
      <c r="BC53" s="19">
        <f t="shared" si="10"/>
        <v>11155000</v>
      </c>
      <c r="BD53" s="19">
        <f t="shared" si="11"/>
        <v>485000</v>
      </c>
      <c r="BE53" s="19">
        <f t="shared" si="36"/>
        <v>22310000</v>
      </c>
    </row>
    <row r="54" spans="1:57">
      <c r="A54" s="81" t="s">
        <v>330</v>
      </c>
      <c r="B54" s="1">
        <v>2055</v>
      </c>
      <c r="C54" s="263">
        <v>4.0000000000000001E-3</v>
      </c>
      <c r="D54" s="264">
        <f t="shared" si="47"/>
        <v>701200000</v>
      </c>
      <c r="E54" s="344">
        <f t="shared" si="13"/>
        <v>981679999.99999988</v>
      </c>
      <c r="F54" s="676">
        <f t="shared" si="37"/>
        <v>65000000</v>
      </c>
      <c r="G54" s="16">
        <f t="shared" si="38"/>
        <v>806379999.99999988</v>
      </c>
      <c r="H54" s="19">
        <f t="shared" si="42"/>
        <v>580593599.99999988</v>
      </c>
      <c r="I54" s="16">
        <f t="shared" si="14"/>
        <v>175300000</v>
      </c>
      <c r="J54" s="19">
        <f t="shared" si="15"/>
        <v>100972799.99999999</v>
      </c>
      <c r="K54" s="16">
        <f t="shared" si="16"/>
        <v>0</v>
      </c>
      <c r="L54" s="25">
        <f t="shared" si="17"/>
        <v>0</v>
      </c>
      <c r="M54" s="229">
        <f t="shared" si="18"/>
        <v>682000000</v>
      </c>
      <c r="N54" s="230">
        <f t="shared" si="19"/>
        <v>206000000</v>
      </c>
      <c r="O54" s="231">
        <f t="shared" si="20"/>
        <v>476000000</v>
      </c>
      <c r="P54" s="265">
        <f t="shared" si="39"/>
        <v>30000000</v>
      </c>
      <c r="Q54" s="233">
        <f t="shared" si="21"/>
        <v>446000000</v>
      </c>
      <c r="R54" s="659">
        <f t="shared" si="22"/>
        <v>379000000</v>
      </c>
      <c r="S54" s="665">
        <f t="shared" si="40"/>
        <v>67000000</v>
      </c>
      <c r="T54" s="266">
        <f t="shared" si="23"/>
        <v>97000000</v>
      </c>
      <c r="U54" s="124">
        <f t="shared" si="24"/>
        <v>7.3230769230769228</v>
      </c>
      <c r="V54" s="124">
        <f t="shared" si="25"/>
        <v>0.69472740607937422</v>
      </c>
      <c r="X54" s="379">
        <f t="shared" si="26"/>
        <v>682000000</v>
      </c>
      <c r="Y54" s="235">
        <v>12000000</v>
      </c>
      <c r="Z54" s="19">
        <v>5000000</v>
      </c>
      <c r="AA54" s="236">
        <f t="shared" si="43"/>
        <v>-220000000</v>
      </c>
      <c r="AB54" s="237">
        <f t="shared" si="27"/>
        <v>479000000</v>
      </c>
      <c r="AD54" s="238">
        <f t="shared" si="4"/>
        <v>236000000</v>
      </c>
      <c r="AE54" s="238">
        <f t="shared" si="28"/>
        <v>243000000</v>
      </c>
      <c r="AF54" s="17"/>
      <c r="AG54" s="239">
        <f t="shared" si="5"/>
        <v>131555555.55555555</v>
      </c>
      <c r="AH54" s="262">
        <f t="shared" si="29"/>
        <v>36835555.555555552</v>
      </c>
      <c r="AI54" s="240">
        <f t="shared" si="30"/>
        <v>47360000</v>
      </c>
      <c r="AJ54" s="241">
        <f t="shared" si="31"/>
        <v>47360000</v>
      </c>
      <c r="AL54" s="239">
        <f t="shared" si="44"/>
        <v>111444444.44444445</v>
      </c>
      <c r="AM54" s="17">
        <f t="shared" si="6"/>
        <v>56836666.666666672</v>
      </c>
      <c r="AN54" s="17">
        <f t="shared" si="32"/>
        <v>27303888.888888888</v>
      </c>
      <c r="AO54" s="233">
        <f t="shared" si="33"/>
        <v>27303888.888888888</v>
      </c>
      <c r="AQ54" s="242">
        <f t="shared" si="7"/>
        <v>329672222.22222227</v>
      </c>
      <c r="AR54" s="17">
        <f t="shared" si="46"/>
        <v>74663888.888888896</v>
      </c>
      <c r="AS54" s="233">
        <f t="shared" si="46"/>
        <v>74663888.888888896</v>
      </c>
      <c r="AU54" s="260">
        <f t="shared" si="45"/>
        <v>0.11175329566854993</v>
      </c>
      <c r="AW54" s="244">
        <f t="shared" si="9"/>
        <v>0.23198198198198197</v>
      </c>
      <c r="AY54" s="238">
        <f t="shared" si="41"/>
        <v>-304336111.1111111</v>
      </c>
      <c r="BA54" s="19">
        <f t="shared" si="34"/>
        <v>97000000</v>
      </c>
      <c r="BB54" s="19">
        <f t="shared" si="35"/>
        <v>63050000</v>
      </c>
      <c r="BC54" s="19">
        <f t="shared" si="10"/>
        <v>11155000</v>
      </c>
      <c r="BD54" s="19">
        <f t="shared" si="11"/>
        <v>485000</v>
      </c>
      <c r="BE54" s="19">
        <f t="shared" si="36"/>
        <v>22310000</v>
      </c>
    </row>
    <row r="55" spans="1:57">
      <c r="A55" s="81" t="s">
        <v>331</v>
      </c>
      <c r="B55" s="1">
        <v>2056</v>
      </c>
      <c r="C55" s="263">
        <v>4.0000000000000001E-3</v>
      </c>
      <c r="D55" s="264">
        <f t="shared" si="47"/>
        <v>704000000</v>
      </c>
      <c r="E55" s="344">
        <f t="shared" si="13"/>
        <v>985599999.99999988</v>
      </c>
      <c r="F55" s="676">
        <f t="shared" si="37"/>
        <v>66000000</v>
      </c>
      <c r="G55" s="16">
        <f t="shared" si="38"/>
        <v>809599999.99999988</v>
      </c>
      <c r="H55" s="19">
        <f t="shared" si="42"/>
        <v>582911999.99999988</v>
      </c>
      <c r="I55" s="16">
        <f t="shared" si="14"/>
        <v>176000000</v>
      </c>
      <c r="J55" s="19">
        <f t="shared" si="15"/>
        <v>101375999.99999999</v>
      </c>
      <c r="K55" s="16">
        <f t="shared" si="16"/>
        <v>0</v>
      </c>
      <c r="L55" s="25">
        <f t="shared" si="17"/>
        <v>0</v>
      </c>
      <c r="M55" s="229">
        <f t="shared" si="18"/>
        <v>684000000</v>
      </c>
      <c r="N55" s="230">
        <f t="shared" si="19"/>
        <v>207000000</v>
      </c>
      <c r="O55" s="231">
        <f t="shared" si="20"/>
        <v>477000000</v>
      </c>
      <c r="P55" s="265">
        <f t="shared" si="39"/>
        <v>30000000</v>
      </c>
      <c r="Q55" s="233">
        <f t="shared" si="21"/>
        <v>447000000</v>
      </c>
      <c r="R55" s="659">
        <f t="shared" si="22"/>
        <v>380000000</v>
      </c>
      <c r="S55" s="665">
        <f t="shared" si="40"/>
        <v>67000000</v>
      </c>
      <c r="T55" s="266">
        <f t="shared" si="23"/>
        <v>97000000</v>
      </c>
      <c r="U55" s="124">
        <f t="shared" si="24"/>
        <v>7.2272727272727275</v>
      </c>
      <c r="V55" s="124">
        <f t="shared" si="25"/>
        <v>0.69399350649350655</v>
      </c>
      <c r="X55" s="379">
        <f t="shared" si="26"/>
        <v>684000000</v>
      </c>
      <c r="Y55" s="235">
        <v>12000000</v>
      </c>
      <c r="Z55" s="19">
        <v>5000000</v>
      </c>
      <c r="AA55" s="236">
        <f t="shared" si="43"/>
        <v>-220000000</v>
      </c>
      <c r="AB55" s="237">
        <f t="shared" si="27"/>
        <v>481000000</v>
      </c>
      <c r="AD55" s="238">
        <f t="shared" si="4"/>
        <v>236000000</v>
      </c>
      <c r="AE55" s="238">
        <f t="shared" si="28"/>
        <v>245000000</v>
      </c>
      <c r="AF55" s="17"/>
      <c r="AG55" s="239">
        <f t="shared" si="5"/>
        <v>131555555.55555555</v>
      </c>
      <c r="AH55" s="262">
        <f t="shared" si="29"/>
        <v>36835555.555555552</v>
      </c>
      <c r="AI55" s="240">
        <f t="shared" si="30"/>
        <v>47360000</v>
      </c>
      <c r="AJ55" s="241">
        <f t="shared" si="31"/>
        <v>47360000</v>
      </c>
      <c r="AL55" s="239">
        <f t="shared" si="44"/>
        <v>113444444.44444445</v>
      </c>
      <c r="AM55" s="17">
        <f t="shared" si="6"/>
        <v>57856666.666666672</v>
      </c>
      <c r="AN55" s="17">
        <f t="shared" si="32"/>
        <v>27793888.888888888</v>
      </c>
      <c r="AO55" s="233">
        <f t="shared" si="33"/>
        <v>27793888.888888888</v>
      </c>
      <c r="AQ55" s="242">
        <f t="shared" si="7"/>
        <v>330692222.22222227</v>
      </c>
      <c r="AR55" s="17">
        <f t="shared" si="46"/>
        <v>75153888.888888896</v>
      </c>
      <c r="AS55" s="233">
        <f t="shared" si="46"/>
        <v>75153888.888888896</v>
      </c>
      <c r="AU55" s="260">
        <f t="shared" si="45"/>
        <v>0.11209905838041433</v>
      </c>
      <c r="AW55" s="244">
        <f t="shared" si="9"/>
        <v>0.23232323232323232</v>
      </c>
      <c r="AY55" s="238">
        <f t="shared" si="41"/>
        <v>-304846111.1111111</v>
      </c>
      <c r="BA55" s="19">
        <f t="shared" si="34"/>
        <v>97000000</v>
      </c>
      <c r="BB55" s="19">
        <f t="shared" si="35"/>
        <v>63050000</v>
      </c>
      <c r="BC55" s="19">
        <f t="shared" si="10"/>
        <v>11155000</v>
      </c>
      <c r="BD55" s="19">
        <f t="shared" si="11"/>
        <v>485000</v>
      </c>
      <c r="BE55" s="19">
        <f t="shared" si="36"/>
        <v>22310000</v>
      </c>
    </row>
    <row r="56" spans="1:57">
      <c r="A56" s="81" t="s">
        <v>332</v>
      </c>
      <c r="B56" s="1">
        <v>2057</v>
      </c>
      <c r="C56" s="263">
        <v>4.0000000000000001E-3</v>
      </c>
      <c r="D56" s="264">
        <f t="shared" si="47"/>
        <v>706800000</v>
      </c>
      <c r="E56" s="344">
        <f t="shared" si="13"/>
        <v>989519999.99999988</v>
      </c>
      <c r="F56" s="676">
        <f t="shared" si="37"/>
        <v>66000000</v>
      </c>
      <c r="G56" s="16">
        <f t="shared" si="38"/>
        <v>812819999.99999988</v>
      </c>
      <c r="H56" s="19">
        <f t="shared" si="42"/>
        <v>585230399.99999988</v>
      </c>
      <c r="I56" s="16">
        <f t="shared" si="14"/>
        <v>176700000</v>
      </c>
      <c r="J56" s="19">
        <f t="shared" si="15"/>
        <v>101779199.99999999</v>
      </c>
      <c r="K56" s="16">
        <f t="shared" si="16"/>
        <v>0</v>
      </c>
      <c r="L56" s="25">
        <f t="shared" si="17"/>
        <v>0</v>
      </c>
      <c r="M56" s="229">
        <f t="shared" si="18"/>
        <v>687000000</v>
      </c>
      <c r="N56" s="230">
        <f t="shared" si="19"/>
        <v>208000000</v>
      </c>
      <c r="O56" s="231">
        <f t="shared" si="20"/>
        <v>479000000</v>
      </c>
      <c r="P56" s="265">
        <f t="shared" si="39"/>
        <v>30000000</v>
      </c>
      <c r="Q56" s="233">
        <f t="shared" si="21"/>
        <v>449000000</v>
      </c>
      <c r="R56" s="659">
        <f t="shared" si="22"/>
        <v>382000000</v>
      </c>
      <c r="S56" s="665">
        <f t="shared" si="40"/>
        <v>67000000</v>
      </c>
      <c r="T56" s="266">
        <f t="shared" si="23"/>
        <v>97000000</v>
      </c>
      <c r="U56" s="124">
        <f t="shared" si="24"/>
        <v>7.2575757575757578</v>
      </c>
      <c r="V56" s="124">
        <f t="shared" si="25"/>
        <v>0.69427601261217564</v>
      </c>
      <c r="X56" s="379">
        <f t="shared" si="26"/>
        <v>687000000</v>
      </c>
      <c r="Y56" s="235">
        <v>12000000</v>
      </c>
      <c r="Z56" s="19">
        <v>5000000</v>
      </c>
      <c r="AA56" s="236">
        <f t="shared" si="43"/>
        <v>-220000000</v>
      </c>
      <c r="AB56" s="237">
        <f t="shared" si="27"/>
        <v>484000000</v>
      </c>
      <c r="AD56" s="238">
        <f t="shared" si="4"/>
        <v>236000000</v>
      </c>
      <c r="AE56" s="238">
        <f t="shared" si="28"/>
        <v>248000000</v>
      </c>
      <c r="AF56" s="17"/>
      <c r="AG56" s="239">
        <f t="shared" si="5"/>
        <v>131555555.55555555</v>
      </c>
      <c r="AH56" s="262">
        <f t="shared" si="29"/>
        <v>36835555.555555552</v>
      </c>
      <c r="AI56" s="240">
        <f t="shared" si="30"/>
        <v>47360000</v>
      </c>
      <c r="AJ56" s="241">
        <f t="shared" si="31"/>
        <v>47360000</v>
      </c>
      <c r="AL56" s="239">
        <f t="shared" si="44"/>
        <v>116444444.44444445</v>
      </c>
      <c r="AM56" s="17">
        <f t="shared" si="6"/>
        <v>59386666.666666672</v>
      </c>
      <c r="AN56" s="17">
        <f t="shared" si="32"/>
        <v>28528888.888888888</v>
      </c>
      <c r="AO56" s="233">
        <f t="shared" si="33"/>
        <v>28528888.888888888</v>
      </c>
      <c r="AQ56" s="242">
        <f t="shared" si="7"/>
        <v>332222222.22222227</v>
      </c>
      <c r="AR56" s="17">
        <f>AI56+AN56</f>
        <v>75888888.888888896</v>
      </c>
      <c r="AS56" s="233">
        <f t="shared" si="46"/>
        <v>75888888.888888896</v>
      </c>
      <c r="AU56" s="260">
        <f t="shared" si="45"/>
        <v>0.11261770244821094</v>
      </c>
      <c r="AW56" s="244">
        <f t="shared" si="9"/>
        <v>0.23240223463687151</v>
      </c>
      <c r="AY56" s="238">
        <f t="shared" si="41"/>
        <v>-306111111.1111111</v>
      </c>
      <c r="BA56" s="19">
        <f t="shared" si="34"/>
        <v>97000000</v>
      </c>
      <c r="BB56" s="19">
        <f t="shared" si="35"/>
        <v>63050000</v>
      </c>
      <c r="BC56" s="19">
        <f t="shared" si="10"/>
        <v>11155000</v>
      </c>
      <c r="BD56" s="19">
        <f t="shared" si="11"/>
        <v>485000</v>
      </c>
      <c r="BE56" s="19">
        <f t="shared" si="36"/>
        <v>22310000</v>
      </c>
    </row>
    <row r="57" spans="1:57">
      <c r="A57" s="81" t="s">
        <v>333</v>
      </c>
      <c r="B57" s="1">
        <v>2058</v>
      </c>
      <c r="C57" s="263">
        <v>4.0000000000000001E-3</v>
      </c>
      <c r="D57" s="264">
        <f t="shared" si="47"/>
        <v>709600000</v>
      </c>
      <c r="E57" s="344">
        <f t="shared" si="13"/>
        <v>993439999.99999988</v>
      </c>
      <c r="F57" s="676">
        <f t="shared" si="37"/>
        <v>66000000</v>
      </c>
      <c r="G57" s="16">
        <f t="shared" si="38"/>
        <v>816039999.99999988</v>
      </c>
      <c r="H57" s="19">
        <f t="shared" si="42"/>
        <v>587548799.99999988</v>
      </c>
      <c r="I57" s="16">
        <f t="shared" si="14"/>
        <v>177400000</v>
      </c>
      <c r="J57" s="19">
        <f t="shared" si="15"/>
        <v>102182399.99999999</v>
      </c>
      <c r="K57" s="16">
        <f t="shared" si="16"/>
        <v>0</v>
      </c>
      <c r="L57" s="25">
        <f t="shared" si="17"/>
        <v>0</v>
      </c>
      <c r="M57" s="229">
        <f t="shared" si="18"/>
        <v>690000000</v>
      </c>
      <c r="N57" s="230">
        <f t="shared" si="19"/>
        <v>209000000</v>
      </c>
      <c r="O57" s="231">
        <f t="shared" si="20"/>
        <v>481000000</v>
      </c>
      <c r="P57" s="265">
        <f t="shared" si="39"/>
        <v>30000000</v>
      </c>
      <c r="Q57" s="233">
        <f t="shared" si="21"/>
        <v>451000000</v>
      </c>
      <c r="R57" s="659">
        <f t="shared" si="22"/>
        <v>383000000</v>
      </c>
      <c r="S57" s="665">
        <f t="shared" si="40"/>
        <v>68000000</v>
      </c>
      <c r="T57" s="266">
        <f t="shared" si="23"/>
        <v>98000000</v>
      </c>
      <c r="U57" s="124">
        <f t="shared" si="24"/>
        <v>7.2878787878787881</v>
      </c>
      <c r="V57" s="124">
        <f t="shared" si="25"/>
        <v>0.69455628925752944</v>
      </c>
      <c r="X57" s="379">
        <f t="shared" si="26"/>
        <v>690000000</v>
      </c>
      <c r="Y57" s="235">
        <v>12000000</v>
      </c>
      <c r="Z57" s="19">
        <v>5000000</v>
      </c>
      <c r="AA57" s="236">
        <f t="shared" si="43"/>
        <v>-220000000</v>
      </c>
      <c r="AB57" s="237">
        <f t="shared" si="27"/>
        <v>487000000</v>
      </c>
      <c r="AD57" s="238">
        <f t="shared" si="4"/>
        <v>236000000</v>
      </c>
      <c r="AE57" s="238">
        <f t="shared" si="28"/>
        <v>251000000</v>
      </c>
      <c r="AF57" s="17"/>
      <c r="AG57" s="239">
        <f t="shared" si="5"/>
        <v>131555555.55555555</v>
      </c>
      <c r="AH57" s="262">
        <f t="shared" si="29"/>
        <v>36835555.555555552</v>
      </c>
      <c r="AI57" s="240">
        <f t="shared" si="30"/>
        <v>47360000</v>
      </c>
      <c r="AJ57" s="241">
        <f t="shared" si="31"/>
        <v>47360000</v>
      </c>
      <c r="AL57" s="239">
        <f t="shared" si="44"/>
        <v>119444444.44444445</v>
      </c>
      <c r="AM57" s="17">
        <f t="shared" si="6"/>
        <v>60916666.666666672</v>
      </c>
      <c r="AN57" s="17">
        <f t="shared" si="32"/>
        <v>29263888.888888888</v>
      </c>
      <c r="AO57" s="233">
        <f t="shared" si="33"/>
        <v>29263888.888888888</v>
      </c>
      <c r="AQ57" s="242">
        <f t="shared" si="7"/>
        <v>333752222.22222227</v>
      </c>
      <c r="AR57" s="17">
        <f t="shared" si="46"/>
        <v>76623888.888888896</v>
      </c>
      <c r="AS57" s="233">
        <f t="shared" si="46"/>
        <v>76623888.888888896</v>
      </c>
      <c r="AU57" s="260">
        <f t="shared" si="45"/>
        <v>0.11313634651600755</v>
      </c>
      <c r="AW57" s="244">
        <f t="shared" si="9"/>
        <v>0.2324805339265851</v>
      </c>
      <c r="AY57" s="238">
        <f t="shared" si="41"/>
        <v>-306376111.1111111</v>
      </c>
      <c r="BA57" s="19">
        <f t="shared" si="34"/>
        <v>98000000</v>
      </c>
      <c r="BB57" s="19">
        <f t="shared" si="35"/>
        <v>63700000</v>
      </c>
      <c r="BC57" s="19">
        <f t="shared" si="10"/>
        <v>11270000</v>
      </c>
      <c r="BD57" s="19">
        <f t="shared" si="11"/>
        <v>490000</v>
      </c>
      <c r="BE57" s="19">
        <f t="shared" si="36"/>
        <v>22540000</v>
      </c>
    </row>
    <row r="58" spans="1:57">
      <c r="A58" s="81" t="s">
        <v>334</v>
      </c>
      <c r="B58" s="1">
        <v>2059</v>
      </c>
      <c r="C58" s="263">
        <v>4.0000000000000001E-3</v>
      </c>
      <c r="D58" s="264">
        <f t="shared" si="47"/>
        <v>712400000</v>
      </c>
      <c r="E58" s="344">
        <f t="shared" si="13"/>
        <v>997359999.99999988</v>
      </c>
      <c r="F58" s="676">
        <f t="shared" si="37"/>
        <v>66000000</v>
      </c>
      <c r="G58" s="16">
        <f t="shared" si="38"/>
        <v>819259999.99999988</v>
      </c>
      <c r="H58" s="19">
        <f t="shared" si="42"/>
        <v>589867199.99999988</v>
      </c>
      <c r="I58" s="16">
        <f t="shared" si="14"/>
        <v>178100000</v>
      </c>
      <c r="J58" s="19">
        <f t="shared" si="15"/>
        <v>102585599.99999999</v>
      </c>
      <c r="K58" s="16">
        <f t="shared" si="16"/>
        <v>0</v>
      </c>
      <c r="L58" s="25">
        <f t="shared" si="17"/>
        <v>0</v>
      </c>
      <c r="M58" s="229">
        <f t="shared" si="18"/>
        <v>692000000</v>
      </c>
      <c r="N58" s="230">
        <f t="shared" si="19"/>
        <v>209000000</v>
      </c>
      <c r="O58" s="231">
        <f t="shared" si="20"/>
        <v>483000000</v>
      </c>
      <c r="P58" s="265">
        <f t="shared" si="39"/>
        <v>30000000</v>
      </c>
      <c r="Q58" s="233">
        <f t="shared" si="21"/>
        <v>453000000</v>
      </c>
      <c r="R58" s="659">
        <f t="shared" si="22"/>
        <v>385000000</v>
      </c>
      <c r="S58" s="665">
        <f t="shared" si="40"/>
        <v>68000000</v>
      </c>
      <c r="T58" s="266">
        <f t="shared" si="23"/>
        <v>98000000</v>
      </c>
      <c r="U58" s="124">
        <f t="shared" si="24"/>
        <v>7.3181818181818183</v>
      </c>
      <c r="V58" s="124">
        <f t="shared" si="25"/>
        <v>0.69383171572952607</v>
      </c>
      <c r="X58" s="379">
        <f t="shared" si="26"/>
        <v>692000000</v>
      </c>
      <c r="Y58" s="235">
        <v>12000000</v>
      </c>
      <c r="Z58" s="19">
        <v>5000000</v>
      </c>
      <c r="AA58" s="236">
        <f t="shared" si="43"/>
        <v>-220000000</v>
      </c>
      <c r="AB58" s="237">
        <f t="shared" si="27"/>
        <v>489000000</v>
      </c>
      <c r="AD58" s="238">
        <f t="shared" si="4"/>
        <v>236000000</v>
      </c>
      <c r="AE58" s="238">
        <f t="shared" si="28"/>
        <v>253000000</v>
      </c>
      <c r="AF58" s="17"/>
      <c r="AG58" s="239">
        <f t="shared" si="5"/>
        <v>131555555.55555555</v>
      </c>
      <c r="AH58" s="262">
        <f t="shared" si="29"/>
        <v>36835555.555555552</v>
      </c>
      <c r="AI58" s="240">
        <f t="shared" si="30"/>
        <v>47360000</v>
      </c>
      <c r="AJ58" s="241">
        <f t="shared" si="31"/>
        <v>47360000</v>
      </c>
      <c r="AL58" s="239">
        <f t="shared" si="44"/>
        <v>121444444.44444445</v>
      </c>
      <c r="AM58" s="17">
        <f t="shared" si="6"/>
        <v>61936666.666666672</v>
      </c>
      <c r="AN58" s="17">
        <f t="shared" si="32"/>
        <v>29753888.888888888</v>
      </c>
      <c r="AO58" s="233">
        <f t="shared" si="33"/>
        <v>29753888.888888888</v>
      </c>
      <c r="AQ58" s="242">
        <f t="shared" si="7"/>
        <v>334772222.22222227</v>
      </c>
      <c r="AR58" s="17">
        <f t="shared" si="46"/>
        <v>77113888.888888896</v>
      </c>
      <c r="AS58" s="233">
        <f t="shared" si="46"/>
        <v>77113888.888888896</v>
      </c>
      <c r="AU58" s="260">
        <f t="shared" si="45"/>
        <v>0.11348210922787196</v>
      </c>
      <c r="AW58" s="244">
        <f t="shared" si="9"/>
        <v>0.23196448390677027</v>
      </c>
      <c r="AY58" s="238">
        <f t="shared" si="41"/>
        <v>-307886111.1111111</v>
      </c>
      <c r="BA58" s="19">
        <f t="shared" si="34"/>
        <v>98000000</v>
      </c>
      <c r="BB58" s="19">
        <f t="shared" si="35"/>
        <v>63700000</v>
      </c>
      <c r="BC58" s="19">
        <f t="shared" si="10"/>
        <v>11270000</v>
      </c>
      <c r="BD58" s="19">
        <f t="shared" si="11"/>
        <v>490000</v>
      </c>
      <c r="BE58" s="19">
        <f t="shared" si="36"/>
        <v>22540000</v>
      </c>
    </row>
    <row r="59" spans="1:57">
      <c r="A59" s="81" t="s">
        <v>385</v>
      </c>
      <c r="B59" s="1">
        <v>2060</v>
      </c>
      <c r="C59" s="263">
        <v>4.0000000000000001E-3</v>
      </c>
      <c r="D59" s="264">
        <f t="shared" si="47"/>
        <v>715200000</v>
      </c>
      <c r="E59" s="344">
        <f t="shared" si="13"/>
        <v>1001279999.9999999</v>
      </c>
      <c r="F59" s="676">
        <f t="shared" si="37"/>
        <v>67000000</v>
      </c>
      <c r="G59" s="16">
        <f t="shared" si="38"/>
        <v>822479999.99999988</v>
      </c>
      <c r="H59" s="19">
        <f t="shared" si="42"/>
        <v>592185599.99999988</v>
      </c>
      <c r="I59" s="16">
        <f t="shared" si="14"/>
        <v>178800000</v>
      </c>
      <c r="J59" s="19">
        <f t="shared" si="15"/>
        <v>102988799.99999999</v>
      </c>
      <c r="K59" s="16">
        <f t="shared" si="16"/>
        <v>0</v>
      </c>
      <c r="L59" s="25">
        <f t="shared" si="17"/>
        <v>0</v>
      </c>
      <c r="M59" s="229">
        <f t="shared" si="18"/>
        <v>695000000</v>
      </c>
      <c r="N59" s="230">
        <f t="shared" si="19"/>
        <v>210000000</v>
      </c>
      <c r="O59" s="231">
        <f t="shared" si="20"/>
        <v>485000000</v>
      </c>
      <c r="P59" s="265">
        <f t="shared" si="39"/>
        <v>30000000</v>
      </c>
      <c r="Q59" s="233">
        <f t="shared" si="21"/>
        <v>455000000</v>
      </c>
      <c r="R59" s="659">
        <f t="shared" si="22"/>
        <v>387000000</v>
      </c>
      <c r="S59" s="665">
        <f t="shared" si="40"/>
        <v>68000000</v>
      </c>
      <c r="T59" s="266">
        <f t="shared" si="23"/>
        <v>98000000</v>
      </c>
      <c r="U59" s="124">
        <f t="shared" si="24"/>
        <v>7.2388059701492535</v>
      </c>
      <c r="V59" s="124">
        <f t="shared" si="25"/>
        <v>0.69411153723234265</v>
      </c>
      <c r="X59" s="379">
        <f t="shared" si="26"/>
        <v>695000000</v>
      </c>
      <c r="Y59" s="235">
        <v>12000000</v>
      </c>
      <c r="Z59" s="19">
        <v>5000000</v>
      </c>
      <c r="AA59" s="236">
        <f t="shared" si="43"/>
        <v>-220000000</v>
      </c>
      <c r="AB59" s="237">
        <f t="shared" si="27"/>
        <v>492000000</v>
      </c>
      <c r="AD59" s="238">
        <f t="shared" si="4"/>
        <v>236000000</v>
      </c>
      <c r="AE59" s="238">
        <f t="shared" si="28"/>
        <v>256000000</v>
      </c>
      <c r="AF59" s="17"/>
      <c r="AG59" s="239">
        <f t="shared" si="5"/>
        <v>131555555.55555555</v>
      </c>
      <c r="AH59" s="262">
        <f t="shared" si="29"/>
        <v>36835555.555555552</v>
      </c>
      <c r="AI59" s="240">
        <f t="shared" si="30"/>
        <v>47360000</v>
      </c>
      <c r="AJ59" s="241">
        <f t="shared" si="31"/>
        <v>47360000</v>
      </c>
      <c r="AL59" s="239">
        <f t="shared" si="44"/>
        <v>124444444.44444445</v>
      </c>
      <c r="AM59" s="17">
        <f t="shared" si="6"/>
        <v>63466666.666666672</v>
      </c>
      <c r="AN59" s="17">
        <f t="shared" si="32"/>
        <v>30488888.888888888</v>
      </c>
      <c r="AO59" s="233">
        <f t="shared" si="33"/>
        <v>30488888.888888888</v>
      </c>
      <c r="AQ59" s="242">
        <f t="shared" si="7"/>
        <v>336302222.22222227</v>
      </c>
      <c r="AR59" s="17">
        <f t="shared" si="46"/>
        <v>77848888.888888896</v>
      </c>
      <c r="AS59" s="233">
        <f t="shared" si="46"/>
        <v>77848888.888888896</v>
      </c>
      <c r="AU59" s="260">
        <f t="shared" si="45"/>
        <v>0.11400075329566857</v>
      </c>
      <c r="AW59" s="244">
        <f t="shared" si="9"/>
        <v>0.23204419889502761</v>
      </c>
      <c r="AY59" s="238">
        <f t="shared" si="41"/>
        <v>-309151111.1111111</v>
      </c>
      <c r="BA59" s="19">
        <f t="shared" si="34"/>
        <v>98000000</v>
      </c>
      <c r="BB59" s="19">
        <f t="shared" si="35"/>
        <v>63700000</v>
      </c>
      <c r="BC59" s="19">
        <f t="shared" si="10"/>
        <v>11270000</v>
      </c>
      <c r="BD59" s="19">
        <f t="shared" si="11"/>
        <v>490000</v>
      </c>
      <c r="BE59" s="19">
        <f t="shared" si="36"/>
        <v>22540000</v>
      </c>
    </row>
    <row r="60" spans="1:57">
      <c r="A60" s="81" t="s">
        <v>386</v>
      </c>
      <c r="B60" s="1">
        <v>2061</v>
      </c>
      <c r="C60" s="263">
        <v>4.0000000000000001E-3</v>
      </c>
      <c r="D60" s="264">
        <f t="shared" si="47"/>
        <v>718100000</v>
      </c>
      <c r="E60" s="344">
        <f t="shared" si="13"/>
        <v>1005339999.9999999</v>
      </c>
      <c r="F60" s="676">
        <f t="shared" si="37"/>
        <v>67000000</v>
      </c>
      <c r="G60" s="16">
        <f t="shared" si="38"/>
        <v>825814999.99999988</v>
      </c>
      <c r="H60" s="19">
        <f t="shared" si="42"/>
        <v>594586799.99999988</v>
      </c>
      <c r="I60" s="16">
        <f t="shared" si="14"/>
        <v>179525000</v>
      </c>
      <c r="J60" s="19">
        <f t="shared" si="15"/>
        <v>103406399.99999999</v>
      </c>
      <c r="K60" s="16">
        <f t="shared" si="16"/>
        <v>0</v>
      </c>
      <c r="L60" s="25">
        <f t="shared" si="17"/>
        <v>0</v>
      </c>
      <c r="M60" s="229">
        <f t="shared" si="18"/>
        <v>698000000</v>
      </c>
      <c r="N60" s="230">
        <f t="shared" si="19"/>
        <v>211000000</v>
      </c>
      <c r="O60" s="231">
        <f t="shared" si="20"/>
        <v>487000000</v>
      </c>
      <c r="P60" s="265">
        <f t="shared" si="39"/>
        <v>30000000</v>
      </c>
      <c r="Q60" s="233">
        <f t="shared" si="21"/>
        <v>457000000</v>
      </c>
      <c r="R60" s="659">
        <f t="shared" si="22"/>
        <v>388000000</v>
      </c>
      <c r="S60" s="665">
        <f t="shared" si="40"/>
        <v>69000000</v>
      </c>
      <c r="T60" s="266">
        <f t="shared" si="23"/>
        <v>99000000</v>
      </c>
      <c r="U60" s="124">
        <f t="shared" si="24"/>
        <v>7.2686567164179108</v>
      </c>
      <c r="V60" s="124">
        <f t="shared" si="25"/>
        <v>0.69429247816659045</v>
      </c>
      <c r="X60" s="379">
        <f t="shared" si="26"/>
        <v>698000000</v>
      </c>
      <c r="Y60" s="235">
        <v>12000000</v>
      </c>
      <c r="Z60" s="19">
        <v>5000000</v>
      </c>
      <c r="AA60" s="236">
        <f t="shared" si="43"/>
        <v>-220000000</v>
      </c>
      <c r="AB60" s="237">
        <f t="shared" si="27"/>
        <v>495000000</v>
      </c>
      <c r="AD60" s="238">
        <f t="shared" si="4"/>
        <v>236000000</v>
      </c>
      <c r="AE60" s="238">
        <f t="shared" si="28"/>
        <v>259000000</v>
      </c>
      <c r="AF60" s="17"/>
      <c r="AG60" s="239">
        <f t="shared" si="5"/>
        <v>131555555.55555555</v>
      </c>
      <c r="AH60" s="262">
        <f t="shared" si="29"/>
        <v>36835555.555555552</v>
      </c>
      <c r="AI60" s="240">
        <f t="shared" si="30"/>
        <v>47360000</v>
      </c>
      <c r="AJ60" s="241">
        <f t="shared" si="31"/>
        <v>47360000</v>
      </c>
      <c r="AL60" s="239">
        <f t="shared" si="44"/>
        <v>127444444.44444445</v>
      </c>
      <c r="AM60" s="17">
        <f t="shared" si="6"/>
        <v>64996666.666666672</v>
      </c>
      <c r="AN60" s="17">
        <f t="shared" si="32"/>
        <v>31223888.888888888</v>
      </c>
      <c r="AO60" s="233">
        <f t="shared" si="33"/>
        <v>31223888.888888888</v>
      </c>
      <c r="AQ60" s="242">
        <f t="shared" si="7"/>
        <v>337832222.22222227</v>
      </c>
      <c r="AR60" s="17">
        <f t="shared" si="46"/>
        <v>78583888.888888896</v>
      </c>
      <c r="AS60" s="233">
        <f t="shared" si="46"/>
        <v>78583888.888888896</v>
      </c>
      <c r="AU60" s="260">
        <f t="shared" si="45"/>
        <v>0.11451939736346517</v>
      </c>
      <c r="AW60" s="244">
        <f t="shared" si="9"/>
        <v>0.23212321232123212</v>
      </c>
      <c r="AY60" s="238">
        <f t="shared" si="41"/>
        <v>-309416111.1111111</v>
      </c>
      <c r="BA60" s="19">
        <f t="shared" si="34"/>
        <v>99000000</v>
      </c>
      <c r="BB60" s="19">
        <f t="shared" si="35"/>
        <v>64350000</v>
      </c>
      <c r="BC60" s="19">
        <f t="shared" si="10"/>
        <v>11385000</v>
      </c>
      <c r="BD60" s="19">
        <f t="shared" si="11"/>
        <v>495000</v>
      </c>
      <c r="BE60" s="19">
        <f t="shared" si="36"/>
        <v>22770000</v>
      </c>
    </row>
    <row r="61" spans="1:57">
      <c r="A61" s="81" t="s">
        <v>335</v>
      </c>
      <c r="B61" s="1">
        <v>2062</v>
      </c>
      <c r="C61" s="263">
        <v>4.0000000000000001E-3</v>
      </c>
      <c r="D61" s="264">
        <f t="shared" si="47"/>
        <v>721000000</v>
      </c>
      <c r="E61" s="344">
        <f t="shared" si="13"/>
        <v>1009399999.9999999</v>
      </c>
      <c r="F61" s="676">
        <f t="shared" si="37"/>
        <v>67000000</v>
      </c>
      <c r="G61" s="16">
        <f t="shared" si="38"/>
        <v>829149999.99999988</v>
      </c>
      <c r="H61" s="19">
        <f t="shared" si="42"/>
        <v>596987999.99999988</v>
      </c>
      <c r="I61" s="16">
        <f t="shared" si="14"/>
        <v>180250000</v>
      </c>
      <c r="J61" s="19">
        <f t="shared" si="15"/>
        <v>103823999.99999999</v>
      </c>
      <c r="K61" s="16">
        <f t="shared" si="16"/>
        <v>0</v>
      </c>
      <c r="L61" s="25">
        <f t="shared" si="17"/>
        <v>0</v>
      </c>
      <c r="M61" s="229">
        <f t="shared" si="18"/>
        <v>701000000</v>
      </c>
      <c r="N61" s="230">
        <f t="shared" si="19"/>
        <v>212000000</v>
      </c>
      <c r="O61" s="231">
        <f t="shared" si="20"/>
        <v>489000000</v>
      </c>
      <c r="P61" s="265">
        <f t="shared" si="39"/>
        <v>30000000</v>
      </c>
      <c r="Q61" s="233">
        <f t="shared" si="21"/>
        <v>459000000</v>
      </c>
      <c r="R61" s="659">
        <f t="shared" si="22"/>
        <v>390000000</v>
      </c>
      <c r="S61" s="665">
        <f t="shared" si="40"/>
        <v>69000000</v>
      </c>
      <c r="T61" s="266">
        <f t="shared" si="23"/>
        <v>99000000</v>
      </c>
      <c r="U61" s="124">
        <f t="shared" si="24"/>
        <v>7.2985074626865671</v>
      </c>
      <c r="V61" s="124">
        <f t="shared" si="25"/>
        <v>0.69447196354269869</v>
      </c>
      <c r="X61" s="379">
        <f t="shared" si="26"/>
        <v>701000000</v>
      </c>
      <c r="Y61" s="235">
        <v>12000000</v>
      </c>
      <c r="Z61" s="19">
        <v>5000000</v>
      </c>
      <c r="AA61" s="236">
        <f t="shared" si="43"/>
        <v>-220000000</v>
      </c>
      <c r="AB61" s="237">
        <f t="shared" si="27"/>
        <v>498000000</v>
      </c>
      <c r="AD61" s="238">
        <f t="shared" si="4"/>
        <v>236000000</v>
      </c>
      <c r="AE61" s="238">
        <f t="shared" si="28"/>
        <v>262000000</v>
      </c>
      <c r="AF61" s="17"/>
      <c r="AG61" s="239">
        <f t="shared" si="5"/>
        <v>131555555.55555555</v>
      </c>
      <c r="AH61" s="262">
        <f t="shared" si="29"/>
        <v>36835555.555555552</v>
      </c>
      <c r="AI61" s="240">
        <f t="shared" si="30"/>
        <v>47360000</v>
      </c>
      <c r="AJ61" s="241">
        <f t="shared" si="31"/>
        <v>47360000</v>
      </c>
      <c r="AL61" s="239">
        <f t="shared" si="44"/>
        <v>130444444.44444445</v>
      </c>
      <c r="AM61" s="17">
        <f t="shared" si="6"/>
        <v>66526666.666666672</v>
      </c>
      <c r="AN61" s="17">
        <f t="shared" si="32"/>
        <v>31958888.888888888</v>
      </c>
      <c r="AO61" s="233">
        <f t="shared" si="33"/>
        <v>31958888.888888888</v>
      </c>
      <c r="AQ61" s="242">
        <f t="shared" si="7"/>
        <v>339362222.22222227</v>
      </c>
      <c r="AR61" s="17">
        <f t="shared" si="46"/>
        <v>79318888.888888896</v>
      </c>
      <c r="AS61" s="233">
        <f t="shared" si="46"/>
        <v>79318888.888888896</v>
      </c>
      <c r="AU61" s="260">
        <f t="shared" si="45"/>
        <v>0.11503804143126178</v>
      </c>
      <c r="AW61" s="244">
        <f t="shared" si="9"/>
        <v>0.23220153340635269</v>
      </c>
      <c r="AY61" s="238">
        <f t="shared" si="41"/>
        <v>-310681111.1111111</v>
      </c>
      <c r="BA61" s="19">
        <f t="shared" si="34"/>
        <v>99000000</v>
      </c>
      <c r="BB61" s="19">
        <f t="shared" si="35"/>
        <v>64350000</v>
      </c>
      <c r="BC61" s="19">
        <f t="shared" si="10"/>
        <v>11385000</v>
      </c>
      <c r="BD61" s="19">
        <f t="shared" si="11"/>
        <v>495000</v>
      </c>
      <c r="BE61" s="19">
        <f t="shared" si="36"/>
        <v>22770000</v>
      </c>
    </row>
    <row r="62" spans="1:57">
      <c r="A62" s="81" t="s">
        <v>336</v>
      </c>
      <c r="B62" s="1">
        <v>2063</v>
      </c>
      <c r="C62" s="263">
        <v>4.0000000000000001E-3</v>
      </c>
      <c r="D62" s="264">
        <f t="shared" si="47"/>
        <v>723900000</v>
      </c>
      <c r="E62" s="344">
        <f t="shared" si="13"/>
        <v>1013459999.9999999</v>
      </c>
      <c r="F62" s="676">
        <f t="shared" si="37"/>
        <v>68000000</v>
      </c>
      <c r="G62" s="16">
        <f t="shared" si="38"/>
        <v>832484999.99999988</v>
      </c>
      <c r="H62" s="19">
        <f t="shared" si="42"/>
        <v>599389199.99999988</v>
      </c>
      <c r="I62" s="16">
        <f t="shared" si="14"/>
        <v>180975000</v>
      </c>
      <c r="J62" s="19">
        <f t="shared" si="15"/>
        <v>104241599.99999999</v>
      </c>
      <c r="K62" s="16">
        <f t="shared" si="16"/>
        <v>0</v>
      </c>
      <c r="L62" s="25">
        <f t="shared" si="17"/>
        <v>0</v>
      </c>
      <c r="M62" s="229">
        <f t="shared" si="18"/>
        <v>704000000</v>
      </c>
      <c r="N62" s="230">
        <f t="shared" si="19"/>
        <v>213000000</v>
      </c>
      <c r="O62" s="231">
        <f t="shared" si="20"/>
        <v>491000000</v>
      </c>
      <c r="P62" s="265">
        <f t="shared" si="39"/>
        <v>30000000</v>
      </c>
      <c r="Q62" s="233">
        <f t="shared" si="21"/>
        <v>461000000</v>
      </c>
      <c r="R62" s="659">
        <f t="shared" si="22"/>
        <v>392000000</v>
      </c>
      <c r="S62" s="665">
        <f t="shared" si="40"/>
        <v>69000000</v>
      </c>
      <c r="T62" s="266">
        <f t="shared" si="23"/>
        <v>99000000</v>
      </c>
      <c r="U62" s="124">
        <f t="shared" si="24"/>
        <v>7.2205882352941178</v>
      </c>
      <c r="V62" s="124">
        <f t="shared" si="25"/>
        <v>0.69465001085390654</v>
      </c>
      <c r="X62" s="379">
        <f t="shared" si="26"/>
        <v>704000000</v>
      </c>
      <c r="Y62" s="235">
        <v>12000000</v>
      </c>
      <c r="Z62" s="19">
        <v>5000000</v>
      </c>
      <c r="AA62" s="236">
        <f t="shared" si="43"/>
        <v>-220000000</v>
      </c>
      <c r="AB62" s="237">
        <f t="shared" si="27"/>
        <v>501000000</v>
      </c>
      <c r="AD62" s="238">
        <f t="shared" si="4"/>
        <v>236000000</v>
      </c>
      <c r="AE62" s="238">
        <f t="shared" si="28"/>
        <v>265000000</v>
      </c>
      <c r="AF62" s="17"/>
      <c r="AG62" s="239">
        <f t="shared" si="5"/>
        <v>131555555.55555555</v>
      </c>
      <c r="AH62" s="262">
        <f t="shared" si="29"/>
        <v>36835555.555555552</v>
      </c>
      <c r="AI62" s="240">
        <f t="shared" si="30"/>
        <v>47360000</v>
      </c>
      <c r="AJ62" s="241">
        <f t="shared" si="31"/>
        <v>47360000</v>
      </c>
      <c r="AL62" s="239">
        <f t="shared" si="44"/>
        <v>133444444.44444445</v>
      </c>
      <c r="AM62" s="17">
        <f t="shared" si="6"/>
        <v>68056666.666666672</v>
      </c>
      <c r="AN62" s="17">
        <f t="shared" si="32"/>
        <v>32693888.888888888</v>
      </c>
      <c r="AO62" s="233">
        <f t="shared" si="33"/>
        <v>32693888.888888888</v>
      </c>
      <c r="AQ62" s="242">
        <f t="shared" si="7"/>
        <v>340892222.22222227</v>
      </c>
      <c r="AR62" s="17">
        <f t="shared" si="46"/>
        <v>80053888.888888896</v>
      </c>
      <c r="AS62" s="233">
        <f t="shared" si="46"/>
        <v>80053888.888888896</v>
      </c>
      <c r="AU62" s="260">
        <f t="shared" si="45"/>
        <v>0.1155566854990584</v>
      </c>
      <c r="AW62" s="244">
        <f t="shared" si="9"/>
        <v>0.23227917121046893</v>
      </c>
      <c r="AY62" s="238">
        <f t="shared" si="41"/>
        <v>-311946111.1111111</v>
      </c>
      <c r="BA62" s="19">
        <f t="shared" si="34"/>
        <v>99000000</v>
      </c>
      <c r="BB62" s="19">
        <f t="shared" si="35"/>
        <v>64350000</v>
      </c>
      <c r="BC62" s="19">
        <f t="shared" si="10"/>
        <v>11385000</v>
      </c>
      <c r="BD62" s="19">
        <f t="shared" si="11"/>
        <v>495000</v>
      </c>
      <c r="BE62" s="19">
        <f t="shared" si="36"/>
        <v>22770000</v>
      </c>
    </row>
    <row r="63" spans="1:57">
      <c r="A63" s="81" t="s">
        <v>337</v>
      </c>
      <c r="B63" s="1">
        <v>2064</v>
      </c>
      <c r="C63" s="263">
        <v>4.0000000000000001E-3</v>
      </c>
      <c r="D63" s="264">
        <f t="shared" si="47"/>
        <v>726800000</v>
      </c>
      <c r="E63" s="344">
        <f t="shared" si="13"/>
        <v>1017519999.9999999</v>
      </c>
      <c r="F63" s="676">
        <f t="shared" si="37"/>
        <v>68000000</v>
      </c>
      <c r="G63" s="16">
        <f t="shared" si="38"/>
        <v>835819999.99999988</v>
      </c>
      <c r="H63" s="19">
        <f t="shared" si="42"/>
        <v>601790399.99999988</v>
      </c>
      <c r="I63" s="16">
        <f t="shared" si="14"/>
        <v>181700000</v>
      </c>
      <c r="J63" s="19">
        <f t="shared" si="15"/>
        <v>104659199.99999999</v>
      </c>
      <c r="K63" s="16">
        <f t="shared" si="16"/>
        <v>0</v>
      </c>
      <c r="L63" s="25">
        <f t="shared" si="17"/>
        <v>0</v>
      </c>
      <c r="M63" s="229">
        <f t="shared" si="18"/>
        <v>706000000</v>
      </c>
      <c r="N63" s="230">
        <f t="shared" si="19"/>
        <v>214000000</v>
      </c>
      <c r="O63" s="231">
        <f t="shared" si="20"/>
        <v>492000000</v>
      </c>
      <c r="P63" s="265">
        <f t="shared" si="39"/>
        <v>30000000</v>
      </c>
      <c r="Q63" s="233">
        <f t="shared" si="21"/>
        <v>462000000</v>
      </c>
      <c r="R63" s="659">
        <f t="shared" si="22"/>
        <v>393000000</v>
      </c>
      <c r="S63" s="665">
        <f t="shared" si="40"/>
        <v>69000000</v>
      </c>
      <c r="T63" s="266">
        <f t="shared" si="23"/>
        <v>99000000</v>
      </c>
      <c r="U63" s="124">
        <f t="shared" si="24"/>
        <v>7.2352941176470589</v>
      </c>
      <c r="V63" s="124">
        <f t="shared" si="25"/>
        <v>0.69384385564902906</v>
      </c>
      <c r="X63" s="379">
        <f t="shared" si="26"/>
        <v>706000000</v>
      </c>
      <c r="Y63" s="235">
        <v>12000000</v>
      </c>
      <c r="Z63" s="19">
        <v>5000000</v>
      </c>
      <c r="AA63" s="236">
        <f t="shared" si="43"/>
        <v>-220000000</v>
      </c>
      <c r="AB63" s="237">
        <f t="shared" si="27"/>
        <v>503000000</v>
      </c>
      <c r="AD63" s="238">
        <f t="shared" si="4"/>
        <v>236000000</v>
      </c>
      <c r="AE63" s="238">
        <f t="shared" si="28"/>
        <v>267000000</v>
      </c>
      <c r="AF63" s="17"/>
      <c r="AG63" s="239">
        <f t="shared" si="5"/>
        <v>131555555.55555555</v>
      </c>
      <c r="AH63" s="262">
        <f t="shared" si="29"/>
        <v>36835555.555555552</v>
      </c>
      <c r="AI63" s="240">
        <f t="shared" si="30"/>
        <v>47360000</v>
      </c>
      <c r="AJ63" s="241">
        <f t="shared" si="31"/>
        <v>47360000</v>
      </c>
      <c r="AL63" s="239">
        <f t="shared" si="44"/>
        <v>135444444.44444445</v>
      </c>
      <c r="AM63" s="17">
        <f t="shared" si="6"/>
        <v>69076666.666666672</v>
      </c>
      <c r="AN63" s="17">
        <f t="shared" si="32"/>
        <v>33183888.888888888</v>
      </c>
      <c r="AO63" s="233">
        <f t="shared" si="33"/>
        <v>33183888.888888888</v>
      </c>
      <c r="AQ63" s="242">
        <f t="shared" si="7"/>
        <v>341912222.22222227</v>
      </c>
      <c r="AR63" s="17">
        <f t="shared" si="46"/>
        <v>80543888.888888896</v>
      </c>
      <c r="AS63" s="233">
        <f t="shared" si="46"/>
        <v>80543888.888888896</v>
      </c>
      <c r="AU63" s="260">
        <f t="shared" si="45"/>
        <v>0.1159024482109228</v>
      </c>
      <c r="AW63" s="244">
        <f t="shared" si="9"/>
        <v>0.2326086956521739</v>
      </c>
      <c r="AY63" s="238">
        <f t="shared" si="41"/>
        <v>-312456111.1111111</v>
      </c>
      <c r="BA63" s="19">
        <f t="shared" si="34"/>
        <v>99000000</v>
      </c>
      <c r="BB63" s="19">
        <f t="shared" si="35"/>
        <v>64350000</v>
      </c>
      <c r="BC63" s="19">
        <f t="shared" si="10"/>
        <v>11385000</v>
      </c>
      <c r="BD63" s="19">
        <f t="shared" si="11"/>
        <v>495000</v>
      </c>
      <c r="BE63" s="19">
        <f t="shared" si="36"/>
        <v>22770000</v>
      </c>
    </row>
    <row r="64" spans="1:57">
      <c r="A64" s="81" t="s">
        <v>338</v>
      </c>
      <c r="B64" s="1">
        <v>2065</v>
      </c>
      <c r="C64" s="263">
        <v>4.0000000000000001E-3</v>
      </c>
      <c r="D64" s="264">
        <f t="shared" si="47"/>
        <v>729700000</v>
      </c>
      <c r="E64" s="344">
        <f t="shared" si="13"/>
        <v>1021579999.9999999</v>
      </c>
      <c r="F64" s="676">
        <f t="shared" si="37"/>
        <v>68000000</v>
      </c>
      <c r="G64" s="16">
        <f t="shared" si="38"/>
        <v>839154999.99999988</v>
      </c>
      <c r="H64" s="19">
        <f t="shared" si="42"/>
        <v>604191599.99999988</v>
      </c>
      <c r="I64" s="16">
        <f t="shared" si="14"/>
        <v>182425000</v>
      </c>
      <c r="J64" s="19">
        <f t="shared" si="15"/>
        <v>105076799.99999999</v>
      </c>
      <c r="K64" s="16">
        <f t="shared" si="16"/>
        <v>0</v>
      </c>
      <c r="L64" s="25">
        <f t="shared" si="17"/>
        <v>0</v>
      </c>
      <c r="M64" s="229">
        <f t="shared" si="18"/>
        <v>709000000</v>
      </c>
      <c r="N64" s="230">
        <f t="shared" si="19"/>
        <v>215000000</v>
      </c>
      <c r="O64" s="231">
        <f t="shared" si="20"/>
        <v>494000000</v>
      </c>
      <c r="P64" s="265">
        <f t="shared" si="39"/>
        <v>30000000</v>
      </c>
      <c r="Q64" s="233">
        <f t="shared" si="21"/>
        <v>464000000</v>
      </c>
      <c r="R64" s="659">
        <f t="shared" si="22"/>
        <v>394000000</v>
      </c>
      <c r="S64" s="665">
        <f t="shared" si="40"/>
        <v>70000000</v>
      </c>
      <c r="T64" s="266">
        <f t="shared" si="23"/>
        <v>100000000</v>
      </c>
      <c r="U64" s="124">
        <f t="shared" si="24"/>
        <v>7.2647058823529411</v>
      </c>
      <c r="V64" s="124">
        <f t="shared" si="25"/>
        <v>0.6940229840051686</v>
      </c>
      <c r="X64" s="379">
        <f t="shared" si="26"/>
        <v>709000000</v>
      </c>
      <c r="Y64" s="235">
        <v>12000000</v>
      </c>
      <c r="Z64" s="19">
        <v>5000000</v>
      </c>
      <c r="AA64" s="236">
        <f t="shared" si="43"/>
        <v>-220000000</v>
      </c>
      <c r="AB64" s="237">
        <f t="shared" si="27"/>
        <v>506000000</v>
      </c>
      <c r="AD64" s="238">
        <f t="shared" si="4"/>
        <v>236000000</v>
      </c>
      <c r="AE64" s="238">
        <f t="shared" si="28"/>
        <v>270000000</v>
      </c>
      <c r="AF64" s="17"/>
      <c r="AG64" s="239">
        <f t="shared" si="5"/>
        <v>131555555.55555555</v>
      </c>
      <c r="AH64" s="262">
        <f t="shared" si="29"/>
        <v>36835555.555555552</v>
      </c>
      <c r="AI64" s="240">
        <f t="shared" si="30"/>
        <v>47360000</v>
      </c>
      <c r="AJ64" s="241">
        <f t="shared" si="31"/>
        <v>47360000</v>
      </c>
      <c r="AL64" s="239">
        <f t="shared" si="44"/>
        <v>138444444.44444445</v>
      </c>
      <c r="AM64" s="17">
        <f t="shared" si="6"/>
        <v>70606666.666666672</v>
      </c>
      <c r="AN64" s="17">
        <f t="shared" si="32"/>
        <v>33918888.888888888</v>
      </c>
      <c r="AO64" s="233">
        <f t="shared" si="33"/>
        <v>33918888.888888888</v>
      </c>
      <c r="AQ64" s="242">
        <f t="shared" si="7"/>
        <v>343442222.22222227</v>
      </c>
      <c r="AR64" s="17">
        <f t="shared" si="46"/>
        <v>81278888.888888896</v>
      </c>
      <c r="AS64" s="233">
        <f t="shared" si="46"/>
        <v>81278888.888888896</v>
      </c>
      <c r="AU64" s="260">
        <f t="shared" si="45"/>
        <v>0.11642109227871941</v>
      </c>
      <c r="AW64" s="244">
        <f t="shared" si="9"/>
        <v>0.23268398268398269</v>
      </c>
      <c r="AY64" s="238">
        <f t="shared" si="41"/>
        <v>-312721111.1111111</v>
      </c>
      <c r="BA64" s="19">
        <f t="shared" si="34"/>
        <v>100000000</v>
      </c>
      <c r="BB64" s="19">
        <f t="shared" si="35"/>
        <v>65000000</v>
      </c>
      <c r="BC64" s="19">
        <f t="shared" si="10"/>
        <v>11500000</v>
      </c>
      <c r="BD64" s="19">
        <f t="shared" si="11"/>
        <v>500000</v>
      </c>
      <c r="BE64" s="19">
        <f t="shared" si="36"/>
        <v>23000000</v>
      </c>
    </row>
    <row r="65" spans="1:57">
      <c r="A65" s="81" t="s">
        <v>339</v>
      </c>
      <c r="B65" s="1">
        <v>2066</v>
      </c>
      <c r="C65" s="263">
        <v>4.0000000000000001E-3</v>
      </c>
      <c r="D65" s="264">
        <f t="shared" si="47"/>
        <v>732600000</v>
      </c>
      <c r="E65" s="344">
        <f t="shared" si="13"/>
        <v>1025639999.9999999</v>
      </c>
      <c r="F65" s="676">
        <f t="shared" si="37"/>
        <v>68000000</v>
      </c>
      <c r="G65" s="16">
        <f t="shared" si="38"/>
        <v>842489999.99999988</v>
      </c>
      <c r="H65" s="19">
        <f t="shared" si="42"/>
        <v>606592799.99999988</v>
      </c>
      <c r="I65" s="16">
        <f t="shared" si="14"/>
        <v>183150000</v>
      </c>
      <c r="J65" s="19">
        <f t="shared" si="15"/>
        <v>105494399.99999999</v>
      </c>
      <c r="K65" s="16">
        <f t="shared" si="16"/>
        <v>0</v>
      </c>
      <c r="L65" s="25">
        <f t="shared" si="17"/>
        <v>0</v>
      </c>
      <c r="M65" s="229">
        <f t="shared" si="18"/>
        <v>712000000</v>
      </c>
      <c r="N65" s="230">
        <f t="shared" si="19"/>
        <v>215000000</v>
      </c>
      <c r="O65" s="231">
        <f t="shared" si="20"/>
        <v>497000000</v>
      </c>
      <c r="P65" s="265">
        <f t="shared" si="39"/>
        <v>30000000</v>
      </c>
      <c r="Q65" s="233">
        <f t="shared" si="21"/>
        <v>467000000</v>
      </c>
      <c r="R65" s="659">
        <f t="shared" si="22"/>
        <v>397000000</v>
      </c>
      <c r="S65" s="665">
        <f t="shared" si="40"/>
        <v>70000000</v>
      </c>
      <c r="T65" s="266">
        <f t="shared" si="23"/>
        <v>100000000</v>
      </c>
      <c r="U65" s="124">
        <f t="shared" si="24"/>
        <v>7.3088235294117645</v>
      </c>
      <c r="V65" s="124">
        <f t="shared" si="25"/>
        <v>0.6942006942006943</v>
      </c>
      <c r="X65" s="379">
        <f t="shared" si="26"/>
        <v>712000000</v>
      </c>
      <c r="Y65" s="235">
        <v>12000000</v>
      </c>
      <c r="Z65" s="19">
        <v>5000000</v>
      </c>
      <c r="AA65" s="236">
        <f t="shared" si="43"/>
        <v>-220000000</v>
      </c>
      <c r="AB65" s="237">
        <f t="shared" si="27"/>
        <v>509000000</v>
      </c>
      <c r="AD65" s="238">
        <f t="shared" si="4"/>
        <v>236000000</v>
      </c>
      <c r="AE65" s="238">
        <f t="shared" si="28"/>
        <v>273000000</v>
      </c>
      <c r="AF65" s="17"/>
      <c r="AG65" s="239">
        <f t="shared" si="5"/>
        <v>131555555.55555555</v>
      </c>
      <c r="AH65" s="262">
        <f t="shared" si="29"/>
        <v>36835555.555555552</v>
      </c>
      <c r="AI65" s="240">
        <f t="shared" si="30"/>
        <v>47360000</v>
      </c>
      <c r="AJ65" s="241">
        <f t="shared" si="31"/>
        <v>47360000</v>
      </c>
      <c r="AL65" s="239">
        <f t="shared" si="44"/>
        <v>141444444.44444445</v>
      </c>
      <c r="AM65" s="17">
        <f t="shared" si="6"/>
        <v>72136666.666666672</v>
      </c>
      <c r="AN65" s="17">
        <f t="shared" si="32"/>
        <v>34653888.888888888</v>
      </c>
      <c r="AO65" s="233">
        <f t="shared" si="33"/>
        <v>34653888.888888888</v>
      </c>
      <c r="AQ65" s="242">
        <f t="shared" si="7"/>
        <v>344972222.22222227</v>
      </c>
      <c r="AR65" s="17">
        <f t="shared" ref="AR65:AS80" si="48">AI65+AN65</f>
        <v>82013888.888888896</v>
      </c>
      <c r="AS65" s="233">
        <f t="shared" si="48"/>
        <v>82013888.888888896</v>
      </c>
      <c r="AU65" s="260">
        <f t="shared" si="45"/>
        <v>0.11693973634651603</v>
      </c>
      <c r="AW65" s="244">
        <f t="shared" si="9"/>
        <v>0.2319309600862999</v>
      </c>
      <c r="AY65" s="238">
        <f t="shared" si="41"/>
        <v>-314986111.1111111</v>
      </c>
      <c r="BA65" s="19">
        <f t="shared" si="34"/>
        <v>100000000</v>
      </c>
      <c r="BB65" s="19">
        <f t="shared" si="35"/>
        <v>65000000</v>
      </c>
      <c r="BC65" s="19">
        <f t="shared" si="10"/>
        <v>11500000</v>
      </c>
      <c r="BD65" s="19">
        <f t="shared" si="11"/>
        <v>500000</v>
      </c>
      <c r="BE65" s="19">
        <f t="shared" si="36"/>
        <v>23000000</v>
      </c>
    </row>
    <row r="66" spans="1:57">
      <c r="A66" s="81" t="s">
        <v>340</v>
      </c>
      <c r="B66" s="1">
        <v>2067</v>
      </c>
      <c r="C66" s="263">
        <v>4.0000000000000001E-3</v>
      </c>
      <c r="D66" s="264">
        <f t="shared" si="47"/>
        <v>735500000</v>
      </c>
      <c r="E66" s="344">
        <f t="shared" si="13"/>
        <v>1029699999.9999999</v>
      </c>
      <c r="F66" s="676">
        <f t="shared" si="37"/>
        <v>69000000</v>
      </c>
      <c r="G66" s="16">
        <f t="shared" si="38"/>
        <v>845824999.99999988</v>
      </c>
      <c r="H66" s="19">
        <f t="shared" si="42"/>
        <v>608993999.99999988</v>
      </c>
      <c r="I66" s="16">
        <f t="shared" si="14"/>
        <v>183875000</v>
      </c>
      <c r="J66" s="19">
        <f t="shared" si="15"/>
        <v>105911999.99999999</v>
      </c>
      <c r="K66" s="16">
        <f t="shared" si="16"/>
        <v>0</v>
      </c>
      <c r="L66" s="25">
        <f t="shared" si="17"/>
        <v>0</v>
      </c>
      <c r="M66" s="229">
        <f t="shared" si="18"/>
        <v>715000000</v>
      </c>
      <c r="N66" s="230">
        <f t="shared" si="19"/>
        <v>216000000</v>
      </c>
      <c r="O66" s="231">
        <f>M66-N66</f>
        <v>499000000</v>
      </c>
      <c r="P66" s="265">
        <f t="shared" si="39"/>
        <v>30000000</v>
      </c>
      <c r="Q66" s="233">
        <f t="shared" si="21"/>
        <v>469000000</v>
      </c>
      <c r="R66" s="659">
        <f t="shared" si="22"/>
        <v>399000000</v>
      </c>
      <c r="S66" s="665">
        <f t="shared" si="40"/>
        <v>70000000</v>
      </c>
      <c r="T66" s="266">
        <f t="shared" si="23"/>
        <v>100000000</v>
      </c>
      <c r="U66" s="124">
        <f t="shared" si="24"/>
        <v>7.2318840579710146</v>
      </c>
      <c r="V66" s="124">
        <f t="shared" si="25"/>
        <v>0.69437700301058569</v>
      </c>
      <c r="X66" s="379">
        <f t="shared" si="26"/>
        <v>715000000</v>
      </c>
      <c r="Y66" s="235">
        <v>12000000</v>
      </c>
      <c r="Z66" s="19">
        <v>5000000</v>
      </c>
      <c r="AA66" s="236">
        <f t="shared" si="43"/>
        <v>-220000000</v>
      </c>
      <c r="AB66" s="237">
        <f>X66+Y66+Z66+AA66</f>
        <v>512000000</v>
      </c>
      <c r="AD66" s="238">
        <f t="shared" si="4"/>
        <v>236000000</v>
      </c>
      <c r="AE66" s="238">
        <f t="shared" si="28"/>
        <v>276000000</v>
      </c>
      <c r="AF66" s="17"/>
      <c r="AG66" s="239">
        <f t="shared" si="5"/>
        <v>131555555.55555555</v>
      </c>
      <c r="AH66" s="262">
        <f t="shared" si="29"/>
        <v>36835555.555555552</v>
      </c>
      <c r="AI66" s="240">
        <f t="shared" si="30"/>
        <v>47360000</v>
      </c>
      <c r="AJ66" s="241">
        <f t="shared" si="31"/>
        <v>47360000</v>
      </c>
      <c r="AL66" s="239">
        <f t="shared" si="44"/>
        <v>144444444.44444445</v>
      </c>
      <c r="AM66" s="17">
        <f t="shared" si="6"/>
        <v>73666666.666666672</v>
      </c>
      <c r="AN66" s="17">
        <f t="shared" si="32"/>
        <v>35388888.888888888</v>
      </c>
      <c r="AO66" s="233">
        <f t="shared" si="33"/>
        <v>35388888.888888888</v>
      </c>
      <c r="AQ66" s="242">
        <f t="shared" si="7"/>
        <v>346502222.22222227</v>
      </c>
      <c r="AR66" s="17">
        <f t="shared" si="48"/>
        <v>82748888.888888896</v>
      </c>
      <c r="AS66" s="233">
        <f t="shared" si="48"/>
        <v>82748888.888888896</v>
      </c>
      <c r="AU66" s="260">
        <f t="shared" si="45"/>
        <v>0.11745838041431263</v>
      </c>
      <c r="AW66" s="244">
        <f t="shared" si="9"/>
        <v>0.23200859291084855</v>
      </c>
      <c r="AY66" s="238">
        <f t="shared" si="41"/>
        <v>-316251111.1111111</v>
      </c>
      <c r="BA66" s="19">
        <f t="shared" si="34"/>
        <v>100000000</v>
      </c>
      <c r="BB66" s="19">
        <f t="shared" si="35"/>
        <v>65000000</v>
      </c>
      <c r="BC66" s="19">
        <f t="shared" si="10"/>
        <v>11500000</v>
      </c>
      <c r="BD66" s="19">
        <f t="shared" si="11"/>
        <v>500000</v>
      </c>
      <c r="BE66" s="19">
        <f t="shared" si="36"/>
        <v>23000000</v>
      </c>
    </row>
    <row r="67" spans="1:57">
      <c r="A67" s="81" t="s">
        <v>341</v>
      </c>
      <c r="B67" s="1">
        <v>2068</v>
      </c>
      <c r="C67" s="263">
        <v>4.0000000000000001E-3</v>
      </c>
      <c r="D67" s="264">
        <f t="shared" si="47"/>
        <v>738400000</v>
      </c>
      <c r="E67" s="344">
        <f t="shared" si="13"/>
        <v>1033759999.9999999</v>
      </c>
      <c r="F67" s="676">
        <f t="shared" si="37"/>
        <v>69000000</v>
      </c>
      <c r="G67" s="16">
        <f t="shared" si="38"/>
        <v>849159999.99999988</v>
      </c>
      <c r="H67" s="19">
        <f t="shared" si="42"/>
        <v>611395199.99999988</v>
      </c>
      <c r="I67" s="16">
        <f t="shared" si="14"/>
        <v>184600000</v>
      </c>
      <c r="J67" s="19">
        <f t="shared" si="15"/>
        <v>106329599.99999999</v>
      </c>
      <c r="K67" s="16">
        <f t="shared" si="16"/>
        <v>0</v>
      </c>
      <c r="L67" s="25">
        <f t="shared" si="17"/>
        <v>0</v>
      </c>
      <c r="M67" s="229">
        <f t="shared" si="18"/>
        <v>718000000</v>
      </c>
      <c r="N67" s="230">
        <f t="shared" si="19"/>
        <v>217000000</v>
      </c>
      <c r="O67" s="231">
        <f t="shared" si="20"/>
        <v>501000000</v>
      </c>
      <c r="P67" s="265">
        <f t="shared" si="39"/>
        <v>30000000</v>
      </c>
      <c r="Q67" s="233">
        <f t="shared" si="21"/>
        <v>471000000</v>
      </c>
      <c r="R67" s="659">
        <f t="shared" si="22"/>
        <v>400000000</v>
      </c>
      <c r="S67" s="665">
        <f t="shared" si="40"/>
        <v>71000000</v>
      </c>
      <c r="T67" s="266">
        <f t="shared" si="23"/>
        <v>101000000</v>
      </c>
      <c r="U67" s="124">
        <f t="shared" si="24"/>
        <v>7.2608695652173916</v>
      </c>
      <c r="V67" s="124">
        <f t="shared" si="25"/>
        <v>0.6945519269462932</v>
      </c>
      <c r="X67" s="379">
        <f t="shared" si="26"/>
        <v>718000000</v>
      </c>
      <c r="Y67" s="235">
        <v>12000000</v>
      </c>
      <c r="Z67" s="19">
        <v>5000000</v>
      </c>
      <c r="AA67" s="236">
        <f t="shared" si="43"/>
        <v>-220000000</v>
      </c>
      <c r="AB67" s="237">
        <f t="shared" si="27"/>
        <v>515000000</v>
      </c>
      <c r="AD67" s="238">
        <f t="shared" si="4"/>
        <v>236000000</v>
      </c>
      <c r="AE67" s="238">
        <f t="shared" si="28"/>
        <v>279000000</v>
      </c>
      <c r="AF67" s="17"/>
      <c r="AG67" s="239">
        <f t="shared" si="5"/>
        <v>131555555.55555555</v>
      </c>
      <c r="AH67" s="262">
        <f t="shared" si="29"/>
        <v>36835555.555555552</v>
      </c>
      <c r="AI67" s="240">
        <f t="shared" si="30"/>
        <v>47360000</v>
      </c>
      <c r="AJ67" s="241">
        <f t="shared" si="31"/>
        <v>47360000</v>
      </c>
      <c r="AL67" s="239">
        <f t="shared" si="44"/>
        <v>147444444.44444445</v>
      </c>
      <c r="AM67" s="17">
        <f t="shared" si="6"/>
        <v>75196666.666666672</v>
      </c>
      <c r="AN67" s="17">
        <f t="shared" si="32"/>
        <v>36123888.888888888</v>
      </c>
      <c r="AO67" s="233">
        <f t="shared" si="33"/>
        <v>36123888.888888888</v>
      </c>
      <c r="AQ67" s="242">
        <f t="shared" si="7"/>
        <v>348032222.22222227</v>
      </c>
      <c r="AR67" s="17">
        <f t="shared" si="48"/>
        <v>83483888.888888896</v>
      </c>
      <c r="AS67" s="233">
        <f t="shared" si="48"/>
        <v>83483888.888888896</v>
      </c>
      <c r="AU67" s="260">
        <f t="shared" si="45"/>
        <v>0.11797702448210924</v>
      </c>
      <c r="AW67" s="244">
        <f t="shared" si="9"/>
        <v>0.2320855614973262</v>
      </c>
      <c r="AY67" s="238">
        <f t="shared" si="41"/>
        <v>-316516111.1111111</v>
      </c>
      <c r="BA67" s="19">
        <f t="shared" si="34"/>
        <v>101000000</v>
      </c>
      <c r="BB67" s="19">
        <f t="shared" si="35"/>
        <v>65650000</v>
      </c>
      <c r="BC67" s="19">
        <f t="shared" si="10"/>
        <v>11615000</v>
      </c>
      <c r="BD67" s="19">
        <f t="shared" si="11"/>
        <v>505000</v>
      </c>
      <c r="BE67" s="19">
        <f t="shared" si="36"/>
        <v>23230000</v>
      </c>
    </row>
    <row r="68" spans="1:57">
      <c r="A68" s="81" t="s">
        <v>342</v>
      </c>
      <c r="B68" s="1">
        <v>2069</v>
      </c>
      <c r="C68" s="263">
        <v>4.0000000000000001E-3</v>
      </c>
      <c r="D68" s="264">
        <f t="shared" si="47"/>
        <v>741400000</v>
      </c>
      <c r="E68" s="344">
        <f t="shared" si="13"/>
        <v>1037959999.9999999</v>
      </c>
      <c r="F68" s="676">
        <f t="shared" si="37"/>
        <v>69000000</v>
      </c>
      <c r="G68" s="16">
        <f t="shared" si="38"/>
        <v>852609999.99999988</v>
      </c>
      <c r="H68" s="19">
        <f t="shared" si="42"/>
        <v>613879199.99999988</v>
      </c>
      <c r="I68" s="16">
        <f t="shared" si="14"/>
        <v>185350000</v>
      </c>
      <c r="J68" s="19">
        <f t="shared" si="15"/>
        <v>106761599.99999999</v>
      </c>
      <c r="K68" s="16">
        <f t="shared" si="16"/>
        <v>0</v>
      </c>
      <c r="L68" s="25">
        <f t="shared" si="17"/>
        <v>0</v>
      </c>
      <c r="M68" s="229">
        <f t="shared" si="18"/>
        <v>721000000</v>
      </c>
      <c r="N68" s="230">
        <f t="shared" si="19"/>
        <v>218000000</v>
      </c>
      <c r="O68" s="231">
        <f t="shared" si="20"/>
        <v>503000000</v>
      </c>
      <c r="P68" s="265">
        <f t="shared" si="39"/>
        <v>30000000</v>
      </c>
      <c r="Q68" s="233">
        <f t="shared" si="21"/>
        <v>473000000</v>
      </c>
      <c r="R68" s="659">
        <f t="shared" si="22"/>
        <v>402000000</v>
      </c>
      <c r="S68" s="665">
        <f t="shared" si="40"/>
        <v>71000000</v>
      </c>
      <c r="T68" s="266">
        <f t="shared" si="23"/>
        <v>101000000</v>
      </c>
      <c r="U68" s="124">
        <f t="shared" si="24"/>
        <v>7.2898550724637685</v>
      </c>
      <c r="V68" s="124">
        <f t="shared" si="25"/>
        <v>0.69463177771783124</v>
      </c>
      <c r="X68" s="379">
        <f t="shared" si="26"/>
        <v>721000000</v>
      </c>
      <c r="Y68" s="235">
        <v>12000000</v>
      </c>
      <c r="Z68" s="19">
        <v>5000000</v>
      </c>
      <c r="AA68" s="236">
        <f t="shared" si="43"/>
        <v>-220000000</v>
      </c>
      <c r="AB68" s="237">
        <f t="shared" si="27"/>
        <v>518000000</v>
      </c>
      <c r="AD68" s="238">
        <f t="shared" si="4"/>
        <v>236000000</v>
      </c>
      <c r="AE68" s="238">
        <f t="shared" si="28"/>
        <v>282000000</v>
      </c>
      <c r="AF68" s="17"/>
      <c r="AG68" s="239">
        <f t="shared" si="5"/>
        <v>131555555.55555555</v>
      </c>
      <c r="AH68" s="262">
        <f t="shared" si="29"/>
        <v>36835555.555555552</v>
      </c>
      <c r="AI68" s="240">
        <f t="shared" si="30"/>
        <v>47360000</v>
      </c>
      <c r="AJ68" s="241">
        <f t="shared" si="31"/>
        <v>47360000</v>
      </c>
      <c r="AL68" s="239">
        <f t="shared" si="44"/>
        <v>150444444.44444445</v>
      </c>
      <c r="AM68" s="17">
        <f t="shared" si="6"/>
        <v>76726666.666666672</v>
      </c>
      <c r="AN68" s="17">
        <f t="shared" si="32"/>
        <v>36858888.888888888</v>
      </c>
      <c r="AO68" s="233">
        <f t="shared" si="33"/>
        <v>36858888.888888888</v>
      </c>
      <c r="AQ68" s="242">
        <f t="shared" si="7"/>
        <v>349562222.22222227</v>
      </c>
      <c r="AR68" s="17">
        <f t="shared" si="48"/>
        <v>84218888.888888896</v>
      </c>
      <c r="AS68" s="233">
        <f t="shared" si="48"/>
        <v>84218888.888888896</v>
      </c>
      <c r="AU68" s="260">
        <f t="shared" si="45"/>
        <v>0.11849566854990586</v>
      </c>
      <c r="AW68" s="244">
        <f t="shared" si="9"/>
        <v>0.2321618743343983</v>
      </c>
      <c r="AY68" s="238">
        <f t="shared" si="41"/>
        <v>-317781111.1111111</v>
      </c>
      <c r="BA68" s="19">
        <f t="shared" si="34"/>
        <v>101000000</v>
      </c>
      <c r="BB68" s="19">
        <f t="shared" si="35"/>
        <v>65650000</v>
      </c>
      <c r="BC68" s="19">
        <f t="shared" si="10"/>
        <v>11615000</v>
      </c>
      <c r="BD68" s="19">
        <f t="shared" si="11"/>
        <v>505000</v>
      </c>
      <c r="BE68" s="19">
        <f t="shared" si="36"/>
        <v>23230000</v>
      </c>
    </row>
    <row r="69" spans="1:57">
      <c r="A69" s="81" t="s">
        <v>387</v>
      </c>
      <c r="B69" s="1">
        <v>2070</v>
      </c>
      <c r="C69" s="263">
        <v>4.0000000000000001E-3</v>
      </c>
      <c r="D69" s="264">
        <f t="shared" si="47"/>
        <v>744400000</v>
      </c>
      <c r="E69" s="344">
        <f t="shared" si="13"/>
        <v>1042159999.9999999</v>
      </c>
      <c r="F69" s="676">
        <f t="shared" si="37"/>
        <v>69000000</v>
      </c>
      <c r="G69" s="16">
        <f t="shared" si="38"/>
        <v>856059999.99999988</v>
      </c>
      <c r="H69" s="19">
        <f t="shared" si="42"/>
        <v>616363199.99999988</v>
      </c>
      <c r="I69" s="16">
        <f t="shared" si="14"/>
        <v>186100000</v>
      </c>
      <c r="J69" s="19">
        <f t="shared" si="15"/>
        <v>107193599.99999999</v>
      </c>
      <c r="K69" s="16">
        <f t="shared" si="16"/>
        <v>0</v>
      </c>
      <c r="L69" s="25">
        <f t="shared" si="17"/>
        <v>0</v>
      </c>
      <c r="M69" s="229">
        <f t="shared" si="18"/>
        <v>724000000</v>
      </c>
      <c r="N69" s="230">
        <f t="shared" si="19"/>
        <v>219000000</v>
      </c>
      <c r="O69" s="231">
        <f t="shared" si="20"/>
        <v>505000000</v>
      </c>
      <c r="P69" s="265">
        <f t="shared" si="39"/>
        <v>30000000</v>
      </c>
      <c r="Q69" s="233">
        <f t="shared" si="21"/>
        <v>475000000</v>
      </c>
      <c r="R69" s="659">
        <f t="shared" si="22"/>
        <v>404000000</v>
      </c>
      <c r="S69" s="665">
        <f t="shared" si="40"/>
        <v>71000000</v>
      </c>
      <c r="T69" s="266">
        <f t="shared" si="23"/>
        <v>101000000</v>
      </c>
      <c r="U69" s="124">
        <f t="shared" si="24"/>
        <v>7.3188405797101446</v>
      </c>
      <c r="V69" s="124">
        <f t="shared" si="25"/>
        <v>0.69471098487756211</v>
      </c>
      <c r="X69" s="379">
        <f t="shared" si="26"/>
        <v>724000000</v>
      </c>
      <c r="Y69" s="235">
        <v>12000000</v>
      </c>
      <c r="Z69" s="19">
        <v>5000000</v>
      </c>
      <c r="AA69" s="236">
        <f t="shared" si="43"/>
        <v>-220000000</v>
      </c>
      <c r="AB69" s="237">
        <f t="shared" si="27"/>
        <v>521000000</v>
      </c>
      <c r="AD69" s="238">
        <f t="shared" si="4"/>
        <v>236000000</v>
      </c>
      <c r="AE69" s="238">
        <f t="shared" si="28"/>
        <v>285000000</v>
      </c>
      <c r="AF69" s="17"/>
      <c r="AG69" s="239">
        <f t="shared" si="5"/>
        <v>131555555.55555555</v>
      </c>
      <c r="AH69" s="262">
        <f t="shared" si="29"/>
        <v>36835555.555555552</v>
      </c>
      <c r="AI69" s="240">
        <f t="shared" si="30"/>
        <v>47360000</v>
      </c>
      <c r="AJ69" s="241">
        <f t="shared" si="31"/>
        <v>47360000</v>
      </c>
      <c r="AL69" s="239">
        <f t="shared" si="44"/>
        <v>153444444.44444445</v>
      </c>
      <c r="AM69" s="17">
        <f t="shared" si="6"/>
        <v>78256666.666666672</v>
      </c>
      <c r="AN69" s="17">
        <f t="shared" si="32"/>
        <v>37593888.888888888</v>
      </c>
      <c r="AO69" s="233">
        <f t="shared" si="33"/>
        <v>37593888.888888888</v>
      </c>
      <c r="AQ69" s="242">
        <f t="shared" si="7"/>
        <v>351092222.22222227</v>
      </c>
      <c r="AR69" s="17">
        <f t="shared" si="48"/>
        <v>84953888.888888896</v>
      </c>
      <c r="AS69" s="233">
        <f t="shared" si="48"/>
        <v>84953888.888888896</v>
      </c>
      <c r="AU69" s="260">
        <f t="shared" si="45"/>
        <v>0.11901431261770247</v>
      </c>
      <c r="AW69" s="244">
        <f t="shared" si="9"/>
        <v>0.23223753976670203</v>
      </c>
      <c r="AY69" s="238">
        <f t="shared" si="41"/>
        <v>-319046111.1111111</v>
      </c>
      <c r="BA69" s="19">
        <f t="shared" si="34"/>
        <v>101000000</v>
      </c>
      <c r="BB69" s="19">
        <f t="shared" si="35"/>
        <v>65650000</v>
      </c>
      <c r="BC69" s="19">
        <f t="shared" si="10"/>
        <v>11615000</v>
      </c>
      <c r="BD69" s="19">
        <f t="shared" si="11"/>
        <v>505000</v>
      </c>
      <c r="BE69" s="19">
        <f t="shared" si="36"/>
        <v>23230000</v>
      </c>
    </row>
    <row r="70" spans="1:57">
      <c r="A70" s="81" t="s">
        <v>388</v>
      </c>
      <c r="B70" s="1">
        <v>2071</v>
      </c>
      <c r="C70" s="263">
        <v>4.0000000000000001E-3</v>
      </c>
      <c r="D70" s="264">
        <f t="shared" si="47"/>
        <v>747400000</v>
      </c>
      <c r="E70" s="344">
        <f t="shared" si="13"/>
        <v>1046359999.9999999</v>
      </c>
      <c r="F70" s="676">
        <f t="shared" si="37"/>
        <v>70000000</v>
      </c>
      <c r="G70" s="267">
        <f t="shared" ref="G70:I70" si="49">G69</f>
        <v>856059999.99999988</v>
      </c>
      <c r="H70" s="267">
        <f t="shared" si="49"/>
        <v>616363199.99999988</v>
      </c>
      <c r="I70" s="267">
        <f t="shared" si="49"/>
        <v>186100000</v>
      </c>
      <c r="J70" s="19">
        <f t="shared" si="15"/>
        <v>107193599.99999999</v>
      </c>
      <c r="K70" s="16">
        <f t="shared" si="16"/>
        <v>0</v>
      </c>
      <c r="L70" s="25">
        <f t="shared" si="17"/>
        <v>0</v>
      </c>
      <c r="M70" s="229">
        <f t="shared" si="18"/>
        <v>724000000</v>
      </c>
      <c r="N70" s="230">
        <f t="shared" si="19"/>
        <v>220000000</v>
      </c>
      <c r="O70" s="231">
        <f t="shared" si="20"/>
        <v>504000000</v>
      </c>
      <c r="P70" s="265">
        <f t="shared" si="39"/>
        <v>30000000</v>
      </c>
      <c r="Q70" s="233">
        <f t="shared" si="21"/>
        <v>474000000</v>
      </c>
      <c r="R70" s="659">
        <f t="shared" si="22"/>
        <v>403000000</v>
      </c>
      <c r="S70" s="665">
        <f t="shared" si="40"/>
        <v>71000000</v>
      </c>
      <c r="T70" s="266">
        <f t="shared" si="23"/>
        <v>101000000</v>
      </c>
      <c r="U70" s="124">
        <f t="shared" si="24"/>
        <v>7.2</v>
      </c>
      <c r="V70" s="124">
        <f t="shared" si="25"/>
        <v>0.69192247410069196</v>
      </c>
      <c r="X70" s="379">
        <f t="shared" si="26"/>
        <v>724000000</v>
      </c>
      <c r="Z70" s="19">
        <v>5000000</v>
      </c>
      <c r="AA70" s="236">
        <f t="shared" si="43"/>
        <v>-220000000</v>
      </c>
      <c r="AB70" s="237">
        <f t="shared" si="27"/>
        <v>509000000</v>
      </c>
      <c r="AD70" s="238">
        <f t="shared" si="4"/>
        <v>236000000</v>
      </c>
      <c r="AE70" s="238">
        <f t="shared" si="28"/>
        <v>273000000</v>
      </c>
      <c r="AF70" s="17"/>
      <c r="AG70" s="239">
        <f t="shared" si="5"/>
        <v>131555555.55555555</v>
      </c>
      <c r="AH70" s="262">
        <f t="shared" si="29"/>
        <v>36835555.555555552</v>
      </c>
      <c r="AI70" s="240">
        <f t="shared" si="30"/>
        <v>47360000</v>
      </c>
      <c r="AJ70" s="241">
        <f t="shared" si="31"/>
        <v>47360000</v>
      </c>
      <c r="AL70" s="239">
        <f t="shared" si="44"/>
        <v>141444444.44444445</v>
      </c>
      <c r="AM70" s="17">
        <f t="shared" si="6"/>
        <v>72136666.666666672</v>
      </c>
      <c r="AN70" s="17">
        <f t="shared" si="32"/>
        <v>34653888.888888888</v>
      </c>
      <c r="AO70" s="233">
        <f t="shared" si="33"/>
        <v>34653888.888888888</v>
      </c>
      <c r="AQ70" s="242">
        <f t="shared" si="7"/>
        <v>344972222.22222227</v>
      </c>
      <c r="AR70" s="17">
        <f t="shared" si="48"/>
        <v>82013888.888888896</v>
      </c>
      <c r="AS70" s="233">
        <f t="shared" si="48"/>
        <v>82013888.888888896</v>
      </c>
      <c r="AU70" s="260">
        <f t="shared" si="45"/>
        <v>0.11693973634651603</v>
      </c>
      <c r="AW70" s="244">
        <f t="shared" si="9"/>
        <v>0.23305084745762711</v>
      </c>
      <c r="AY70" s="238">
        <f t="shared" si="41"/>
        <v>-320986111.1111111</v>
      </c>
      <c r="BA70" s="19">
        <f t="shared" si="34"/>
        <v>101000000</v>
      </c>
      <c r="BB70" s="19">
        <f t="shared" si="35"/>
        <v>65650000</v>
      </c>
      <c r="BC70" s="19">
        <f t="shared" si="10"/>
        <v>11615000</v>
      </c>
      <c r="BD70" s="19">
        <f t="shared" si="11"/>
        <v>505000</v>
      </c>
      <c r="BE70" s="19">
        <f t="shared" si="36"/>
        <v>23230000</v>
      </c>
    </row>
    <row r="71" spans="1:57">
      <c r="A71" s="81" t="s">
        <v>343</v>
      </c>
      <c r="B71" s="1">
        <v>2072</v>
      </c>
      <c r="C71" s="263">
        <v>4.0000000000000001E-3</v>
      </c>
      <c r="D71" s="264">
        <f t="shared" si="47"/>
        <v>750400000</v>
      </c>
      <c r="E71" s="344">
        <f t="shared" si="13"/>
        <v>1050559999.9999999</v>
      </c>
      <c r="F71" s="676">
        <f t="shared" si="37"/>
        <v>70000000</v>
      </c>
      <c r="G71" s="16">
        <f t="shared" si="38"/>
        <v>862959999.99999988</v>
      </c>
      <c r="H71" s="19">
        <f t="shared" si="42"/>
        <v>621331199.99999988</v>
      </c>
      <c r="I71" s="16">
        <f t="shared" si="14"/>
        <v>187600000</v>
      </c>
      <c r="J71" s="19">
        <f t="shared" si="15"/>
        <v>108057599.99999999</v>
      </c>
      <c r="K71" s="16">
        <f t="shared" si="16"/>
        <v>0</v>
      </c>
      <c r="L71" s="25">
        <f t="shared" si="17"/>
        <v>0</v>
      </c>
      <c r="M71" s="229">
        <f t="shared" si="18"/>
        <v>729000000</v>
      </c>
      <c r="N71" s="230">
        <f t="shared" si="19"/>
        <v>221000000</v>
      </c>
      <c r="O71" s="231">
        <f t="shared" si="20"/>
        <v>508000000</v>
      </c>
      <c r="P71" s="265">
        <f t="shared" si="39"/>
        <v>30000000</v>
      </c>
      <c r="Q71" s="233">
        <f t="shared" si="21"/>
        <v>478000000</v>
      </c>
      <c r="R71" s="659">
        <f t="shared" si="22"/>
        <v>406000000</v>
      </c>
      <c r="S71" s="665">
        <f t="shared" si="40"/>
        <v>72000000</v>
      </c>
      <c r="T71" s="266">
        <f t="shared" si="23"/>
        <v>102000000</v>
      </c>
      <c r="U71" s="124">
        <f t="shared" si="24"/>
        <v>7.2571428571428571</v>
      </c>
      <c r="V71" s="124">
        <f t="shared" si="25"/>
        <v>0.69391562595187339</v>
      </c>
      <c r="X71" s="379">
        <f t="shared" si="26"/>
        <v>729000000</v>
      </c>
      <c r="Z71" s="19">
        <v>5000000</v>
      </c>
      <c r="AA71" s="236">
        <f t="shared" si="43"/>
        <v>-220000000</v>
      </c>
      <c r="AB71" s="237">
        <f t="shared" si="27"/>
        <v>514000000</v>
      </c>
      <c r="AD71" s="238">
        <f t="shared" si="4"/>
        <v>236000000</v>
      </c>
      <c r="AE71" s="238">
        <f t="shared" si="28"/>
        <v>278000000</v>
      </c>
      <c r="AF71" s="17"/>
      <c r="AG71" s="239">
        <f t="shared" si="5"/>
        <v>131555555.55555555</v>
      </c>
      <c r="AH71" s="262">
        <f t="shared" si="29"/>
        <v>36835555.555555552</v>
      </c>
      <c r="AI71" s="240">
        <f t="shared" si="30"/>
        <v>47360000</v>
      </c>
      <c r="AJ71" s="241">
        <f t="shared" si="31"/>
        <v>47360000</v>
      </c>
      <c r="AL71" s="239">
        <f t="shared" si="44"/>
        <v>146444444.44444445</v>
      </c>
      <c r="AM71" s="17">
        <f t="shared" si="6"/>
        <v>74686666.666666672</v>
      </c>
      <c r="AN71" s="17">
        <f t="shared" si="32"/>
        <v>35878888.888888888</v>
      </c>
      <c r="AO71" s="233">
        <f t="shared" si="33"/>
        <v>35878888.888888888</v>
      </c>
      <c r="AQ71" s="242">
        <f t="shared" si="7"/>
        <v>347522222.22222227</v>
      </c>
      <c r="AR71" s="17">
        <f t="shared" si="48"/>
        <v>83238888.888888896</v>
      </c>
      <c r="AS71" s="233">
        <f t="shared" si="48"/>
        <v>83238888.888888896</v>
      </c>
      <c r="AU71" s="260">
        <f t="shared" si="45"/>
        <v>0.11780414312617704</v>
      </c>
      <c r="AW71" s="244">
        <f t="shared" si="9"/>
        <v>0.23263157894736841</v>
      </c>
      <c r="AY71" s="238">
        <f t="shared" si="41"/>
        <v>-322761111.1111111</v>
      </c>
      <c r="BA71" s="19">
        <f t="shared" si="34"/>
        <v>102000000</v>
      </c>
      <c r="BB71" s="19">
        <f t="shared" si="35"/>
        <v>66300000</v>
      </c>
      <c r="BC71" s="19">
        <f t="shared" si="10"/>
        <v>11730000</v>
      </c>
      <c r="BD71" s="19">
        <f t="shared" si="11"/>
        <v>510000</v>
      </c>
      <c r="BE71" s="19">
        <f t="shared" si="36"/>
        <v>23460000</v>
      </c>
    </row>
    <row r="72" spans="1:57">
      <c r="A72" s="81" t="s">
        <v>344</v>
      </c>
      <c r="B72" s="1">
        <v>2073</v>
      </c>
      <c r="C72" s="263">
        <v>4.0000000000000001E-3</v>
      </c>
      <c r="D72" s="264">
        <f t="shared" si="47"/>
        <v>753400000</v>
      </c>
      <c r="E72" s="344">
        <f t="shared" si="13"/>
        <v>1054759999.9999999</v>
      </c>
      <c r="F72" s="676">
        <f t="shared" si="37"/>
        <v>70000000</v>
      </c>
      <c r="G72" s="16">
        <f t="shared" si="38"/>
        <v>866409999.99999988</v>
      </c>
      <c r="H72" s="19">
        <f t="shared" si="42"/>
        <v>623815199.99999988</v>
      </c>
      <c r="I72" s="16">
        <f t="shared" si="14"/>
        <v>188350000</v>
      </c>
      <c r="J72" s="19">
        <f t="shared" si="15"/>
        <v>108489599.99999999</v>
      </c>
      <c r="K72" s="16">
        <f t="shared" si="16"/>
        <v>0</v>
      </c>
      <c r="L72" s="25">
        <f t="shared" si="17"/>
        <v>0</v>
      </c>
      <c r="M72" s="229">
        <f t="shared" si="18"/>
        <v>732000000</v>
      </c>
      <c r="N72" s="230">
        <f t="shared" si="19"/>
        <v>221000000</v>
      </c>
      <c r="O72" s="231">
        <f t="shared" si="20"/>
        <v>511000000</v>
      </c>
      <c r="P72" s="265">
        <f t="shared" si="39"/>
        <v>30000000</v>
      </c>
      <c r="Q72" s="233">
        <f t="shared" si="21"/>
        <v>481000000</v>
      </c>
      <c r="R72" s="659">
        <f t="shared" si="22"/>
        <v>409000000</v>
      </c>
      <c r="S72" s="665">
        <f t="shared" si="40"/>
        <v>72000000</v>
      </c>
      <c r="T72" s="266">
        <f t="shared" si="23"/>
        <v>102000000</v>
      </c>
      <c r="U72" s="124">
        <f t="shared" si="24"/>
        <v>7.3</v>
      </c>
      <c r="V72" s="124">
        <f t="shared" si="25"/>
        <v>0.6939967385945619</v>
      </c>
      <c r="X72" s="379">
        <f t="shared" si="26"/>
        <v>732000000</v>
      </c>
      <c r="Z72" s="19">
        <v>5000000</v>
      </c>
      <c r="AA72" s="236">
        <f t="shared" si="43"/>
        <v>-220000000</v>
      </c>
      <c r="AB72" s="237">
        <f t="shared" si="27"/>
        <v>517000000</v>
      </c>
      <c r="AD72" s="238">
        <f t="shared" si="4"/>
        <v>236000000</v>
      </c>
      <c r="AE72" s="238">
        <f t="shared" si="28"/>
        <v>281000000</v>
      </c>
      <c r="AF72" s="17"/>
      <c r="AG72" s="239">
        <f t="shared" si="5"/>
        <v>131555555.55555555</v>
      </c>
      <c r="AH72" s="262">
        <f t="shared" si="29"/>
        <v>36835555.555555552</v>
      </c>
      <c r="AI72" s="240">
        <f t="shared" si="30"/>
        <v>47360000</v>
      </c>
      <c r="AJ72" s="241">
        <f t="shared" si="31"/>
        <v>47360000</v>
      </c>
      <c r="AL72" s="239">
        <f t="shared" si="44"/>
        <v>149444444.44444445</v>
      </c>
      <c r="AM72" s="17">
        <f t="shared" si="6"/>
        <v>76216666.666666672</v>
      </c>
      <c r="AN72" s="17">
        <f t="shared" si="32"/>
        <v>36613888.888888888</v>
      </c>
      <c r="AO72" s="233">
        <f t="shared" si="33"/>
        <v>36613888.888888888</v>
      </c>
      <c r="AQ72" s="242">
        <f t="shared" si="7"/>
        <v>349052222.22222227</v>
      </c>
      <c r="AR72" s="17">
        <f t="shared" si="48"/>
        <v>83973888.888888896</v>
      </c>
      <c r="AS72" s="233">
        <f t="shared" si="48"/>
        <v>83973888.888888896</v>
      </c>
      <c r="AU72" s="260">
        <f t="shared" si="45"/>
        <v>0.11832278719397366</v>
      </c>
      <c r="AW72" s="244">
        <f t="shared" si="9"/>
        <v>0.23189926547743966</v>
      </c>
      <c r="AY72" s="238">
        <f t="shared" si="41"/>
        <v>-325026111.1111111</v>
      </c>
      <c r="BA72" s="19">
        <f t="shared" si="34"/>
        <v>102000000</v>
      </c>
      <c r="BB72" s="19">
        <f t="shared" si="35"/>
        <v>66300000</v>
      </c>
      <c r="BC72" s="19">
        <f t="shared" si="10"/>
        <v>11730000</v>
      </c>
      <c r="BD72" s="19">
        <f t="shared" si="11"/>
        <v>510000</v>
      </c>
      <c r="BE72" s="19">
        <f t="shared" si="36"/>
        <v>23460000</v>
      </c>
    </row>
    <row r="73" spans="1:57">
      <c r="A73" s="81" t="s">
        <v>345</v>
      </c>
      <c r="B73" s="1">
        <v>2074</v>
      </c>
      <c r="C73" s="263">
        <v>4.0000000000000001E-3</v>
      </c>
      <c r="D73" s="264">
        <f t="shared" si="47"/>
        <v>756400000</v>
      </c>
      <c r="E73" s="344">
        <f t="shared" si="13"/>
        <v>1058959999.9999999</v>
      </c>
      <c r="F73" s="676">
        <f t="shared" si="37"/>
        <v>71000000</v>
      </c>
      <c r="G73" s="16">
        <f t="shared" si="38"/>
        <v>869859999.99999988</v>
      </c>
      <c r="H73" s="19">
        <f t="shared" si="42"/>
        <v>626299199.99999988</v>
      </c>
      <c r="I73" s="16">
        <f t="shared" si="14"/>
        <v>189100000</v>
      </c>
      <c r="J73" s="19">
        <f t="shared" si="15"/>
        <v>108921599.99999999</v>
      </c>
      <c r="K73" s="16">
        <f t="shared" si="16"/>
        <v>0</v>
      </c>
      <c r="L73" s="25">
        <f t="shared" si="17"/>
        <v>0</v>
      </c>
      <c r="M73" s="229">
        <f t="shared" si="18"/>
        <v>735000000</v>
      </c>
      <c r="N73" s="230">
        <f t="shared" si="19"/>
        <v>222000000</v>
      </c>
      <c r="O73" s="231">
        <f t="shared" si="20"/>
        <v>513000000</v>
      </c>
      <c r="P73" s="265">
        <f t="shared" si="39"/>
        <v>30000000</v>
      </c>
      <c r="Q73" s="233">
        <f t="shared" si="21"/>
        <v>483000000</v>
      </c>
      <c r="R73" s="659">
        <f t="shared" si="22"/>
        <v>411000000</v>
      </c>
      <c r="S73" s="665">
        <f t="shared" si="40"/>
        <v>72000000</v>
      </c>
      <c r="T73" s="266">
        <f t="shared" si="23"/>
        <v>102000000</v>
      </c>
      <c r="U73" s="124">
        <f t="shared" si="24"/>
        <v>7.225352112676056</v>
      </c>
      <c r="V73" s="124">
        <f t="shared" si="25"/>
        <v>0.69407720782654692</v>
      </c>
      <c r="X73" s="379">
        <f t="shared" si="26"/>
        <v>735000000</v>
      </c>
      <c r="Z73" s="19">
        <v>5000000</v>
      </c>
      <c r="AA73" s="236">
        <f t="shared" si="43"/>
        <v>-220000000</v>
      </c>
      <c r="AB73" s="237">
        <f t="shared" si="27"/>
        <v>520000000</v>
      </c>
      <c r="AD73" s="238">
        <f t="shared" si="4"/>
        <v>236000000</v>
      </c>
      <c r="AE73" s="238">
        <f t="shared" si="28"/>
        <v>284000000</v>
      </c>
      <c r="AF73" s="17"/>
      <c r="AG73" s="239">
        <f t="shared" si="5"/>
        <v>131555555.55555555</v>
      </c>
      <c r="AH73" s="262">
        <f t="shared" si="29"/>
        <v>36835555.555555552</v>
      </c>
      <c r="AI73" s="240">
        <f t="shared" si="30"/>
        <v>47360000</v>
      </c>
      <c r="AJ73" s="241">
        <f t="shared" si="31"/>
        <v>47360000</v>
      </c>
      <c r="AL73" s="239">
        <f t="shared" si="44"/>
        <v>152444444.44444445</v>
      </c>
      <c r="AM73" s="17">
        <f t="shared" si="6"/>
        <v>77746666.666666672</v>
      </c>
      <c r="AN73" s="17">
        <f t="shared" si="32"/>
        <v>37348888.888888888</v>
      </c>
      <c r="AO73" s="233">
        <f t="shared" si="33"/>
        <v>37348888.888888888</v>
      </c>
      <c r="AQ73" s="242">
        <f t="shared" si="7"/>
        <v>350582222.22222227</v>
      </c>
      <c r="AR73" s="17">
        <f t="shared" si="48"/>
        <v>84708888.888888896</v>
      </c>
      <c r="AS73" s="233">
        <f t="shared" si="48"/>
        <v>84708888.888888896</v>
      </c>
      <c r="AU73" s="260">
        <f t="shared" si="45"/>
        <v>0.11884143126177026</v>
      </c>
      <c r="AW73" s="244">
        <f t="shared" si="9"/>
        <v>0.23197492163009403</v>
      </c>
      <c r="AY73" s="238">
        <f t="shared" si="41"/>
        <v>-326291111.1111111</v>
      </c>
      <c r="BA73" s="19">
        <f t="shared" si="34"/>
        <v>102000000</v>
      </c>
      <c r="BB73" s="19">
        <f t="shared" si="35"/>
        <v>66300000</v>
      </c>
      <c r="BC73" s="19">
        <f t="shared" si="10"/>
        <v>11730000</v>
      </c>
      <c r="BD73" s="19">
        <f t="shared" si="11"/>
        <v>510000</v>
      </c>
      <c r="BE73" s="19">
        <f t="shared" si="36"/>
        <v>23460000</v>
      </c>
    </row>
    <row r="74" spans="1:57">
      <c r="A74" s="81" t="s">
        <v>346</v>
      </c>
      <c r="B74" s="1">
        <v>2075</v>
      </c>
      <c r="C74" s="263">
        <v>4.0000000000000001E-3</v>
      </c>
      <c r="D74" s="264">
        <f t="shared" si="47"/>
        <v>759400000</v>
      </c>
      <c r="E74" s="344">
        <f t="shared" si="13"/>
        <v>1063159999.9999999</v>
      </c>
      <c r="F74" s="676">
        <f t="shared" si="37"/>
        <v>71000000</v>
      </c>
      <c r="G74" s="16">
        <f t="shared" si="38"/>
        <v>873309999.99999988</v>
      </c>
      <c r="H74" s="19">
        <f t="shared" si="42"/>
        <v>628783199.99999988</v>
      </c>
      <c r="I74" s="16">
        <f t="shared" si="14"/>
        <v>189850000</v>
      </c>
      <c r="J74" s="19">
        <f t="shared" si="15"/>
        <v>109353599.99999999</v>
      </c>
      <c r="K74" s="16">
        <f t="shared" si="16"/>
        <v>0</v>
      </c>
      <c r="L74" s="25">
        <f t="shared" si="17"/>
        <v>0</v>
      </c>
      <c r="M74" s="229">
        <f t="shared" si="18"/>
        <v>738000000</v>
      </c>
      <c r="N74" s="230">
        <f t="shared" si="19"/>
        <v>223000000</v>
      </c>
      <c r="O74" s="231">
        <f t="shared" si="20"/>
        <v>515000000</v>
      </c>
      <c r="P74" s="265">
        <f t="shared" si="39"/>
        <v>30000000</v>
      </c>
      <c r="Q74" s="233">
        <f t="shared" si="21"/>
        <v>485000000</v>
      </c>
      <c r="R74" s="659">
        <f t="shared" si="22"/>
        <v>412000000</v>
      </c>
      <c r="S74" s="665">
        <f t="shared" si="40"/>
        <v>73000000</v>
      </c>
      <c r="T74" s="266">
        <f t="shared" si="23"/>
        <v>103000000</v>
      </c>
      <c r="U74" s="124">
        <f t="shared" si="24"/>
        <v>7.253521126760563</v>
      </c>
      <c r="V74" s="124">
        <f t="shared" si="25"/>
        <v>0.69415704127318567</v>
      </c>
      <c r="X74" s="379">
        <f t="shared" si="26"/>
        <v>738000000</v>
      </c>
      <c r="Z74" s="19">
        <v>5000000</v>
      </c>
      <c r="AA74" s="236">
        <f t="shared" si="43"/>
        <v>-220000000</v>
      </c>
      <c r="AB74" s="237">
        <f t="shared" si="27"/>
        <v>523000000</v>
      </c>
      <c r="AD74" s="238">
        <f t="shared" si="4"/>
        <v>236000000</v>
      </c>
      <c r="AE74" s="238">
        <f t="shared" si="28"/>
        <v>287000000</v>
      </c>
      <c r="AF74" s="17"/>
      <c r="AG74" s="239">
        <f t="shared" si="5"/>
        <v>131555555.55555555</v>
      </c>
      <c r="AH74" s="262">
        <f t="shared" si="29"/>
        <v>36835555.555555552</v>
      </c>
      <c r="AI74" s="240">
        <f t="shared" si="30"/>
        <v>47360000</v>
      </c>
      <c r="AJ74" s="241">
        <f t="shared" si="31"/>
        <v>47360000</v>
      </c>
      <c r="AL74" s="239">
        <f t="shared" si="44"/>
        <v>155444444.44444445</v>
      </c>
      <c r="AM74" s="17">
        <f t="shared" si="6"/>
        <v>79276666.666666672</v>
      </c>
      <c r="AN74" s="17">
        <f t="shared" si="32"/>
        <v>38083888.888888888</v>
      </c>
      <c r="AO74" s="233">
        <f t="shared" si="33"/>
        <v>38083888.888888888</v>
      </c>
      <c r="AQ74" s="242">
        <f t="shared" si="7"/>
        <v>352112222.22222227</v>
      </c>
      <c r="AR74" s="17">
        <f t="shared" si="48"/>
        <v>85443888.888888896</v>
      </c>
      <c r="AS74" s="233">
        <f t="shared" si="48"/>
        <v>85443888.888888896</v>
      </c>
      <c r="AU74" s="260">
        <f t="shared" si="45"/>
        <v>0.11936007532956687</v>
      </c>
      <c r="AW74" s="244">
        <f t="shared" si="9"/>
        <v>0.23204994797086367</v>
      </c>
      <c r="AY74" s="238">
        <f t="shared" si="41"/>
        <v>-326556111.1111111</v>
      </c>
      <c r="BA74" s="19">
        <f t="shared" si="34"/>
        <v>103000000</v>
      </c>
      <c r="BB74" s="19">
        <f t="shared" si="35"/>
        <v>66950000</v>
      </c>
      <c r="BC74" s="19">
        <f t="shared" si="10"/>
        <v>11845000</v>
      </c>
      <c r="BD74" s="19">
        <f t="shared" si="11"/>
        <v>515000</v>
      </c>
      <c r="BE74" s="19">
        <f t="shared" si="36"/>
        <v>23690000</v>
      </c>
    </row>
    <row r="75" spans="1:57">
      <c r="A75" s="81" t="s">
        <v>347</v>
      </c>
      <c r="B75" s="1">
        <v>2076</v>
      </c>
      <c r="C75" s="263">
        <v>4.0000000000000001E-3</v>
      </c>
      <c r="D75" s="264">
        <f t="shared" si="47"/>
        <v>762400000</v>
      </c>
      <c r="E75" s="344">
        <f t="shared" si="13"/>
        <v>1067359999.9999999</v>
      </c>
      <c r="F75" s="676">
        <f t="shared" si="37"/>
        <v>71000000</v>
      </c>
      <c r="G75" s="16">
        <f t="shared" si="38"/>
        <v>876759999.99999988</v>
      </c>
      <c r="H75" s="19">
        <f t="shared" si="42"/>
        <v>631267199.99999988</v>
      </c>
      <c r="I75" s="16">
        <f t="shared" si="14"/>
        <v>190600000</v>
      </c>
      <c r="J75" s="19">
        <f t="shared" si="15"/>
        <v>109785599.99999999</v>
      </c>
      <c r="K75" s="16">
        <f t="shared" si="16"/>
        <v>0</v>
      </c>
      <c r="L75" s="25">
        <f t="shared" si="17"/>
        <v>0</v>
      </c>
      <c r="M75" s="229">
        <f t="shared" si="18"/>
        <v>741000000</v>
      </c>
      <c r="N75" s="230">
        <f t="shared" si="19"/>
        <v>224000000</v>
      </c>
      <c r="O75" s="231">
        <f t="shared" si="20"/>
        <v>517000000</v>
      </c>
      <c r="P75" s="265">
        <f t="shared" si="39"/>
        <v>30000000</v>
      </c>
      <c r="Q75" s="233">
        <f t="shared" si="21"/>
        <v>487000000</v>
      </c>
      <c r="R75" s="659">
        <f t="shared" si="22"/>
        <v>414000000</v>
      </c>
      <c r="S75" s="665">
        <f t="shared" si="40"/>
        <v>73000000</v>
      </c>
      <c r="T75" s="266">
        <f t="shared" si="23"/>
        <v>103000000</v>
      </c>
      <c r="U75" s="124">
        <f t="shared" si="24"/>
        <v>7.28169014084507</v>
      </c>
      <c r="V75" s="124">
        <f t="shared" si="25"/>
        <v>0.69423624643981419</v>
      </c>
      <c r="X75" s="379">
        <f t="shared" si="26"/>
        <v>741000000</v>
      </c>
      <c r="Z75" s="19">
        <v>5000000</v>
      </c>
      <c r="AA75" s="236">
        <f t="shared" si="43"/>
        <v>-220000000</v>
      </c>
      <c r="AB75" s="237">
        <f t="shared" si="27"/>
        <v>526000000</v>
      </c>
      <c r="AD75" s="238">
        <f t="shared" si="4"/>
        <v>236000000</v>
      </c>
      <c r="AE75" s="238">
        <f t="shared" si="28"/>
        <v>290000000</v>
      </c>
      <c r="AF75" s="17"/>
      <c r="AG75" s="239">
        <f t="shared" si="5"/>
        <v>131555555.55555555</v>
      </c>
      <c r="AH75" s="262">
        <f t="shared" si="29"/>
        <v>36835555.555555552</v>
      </c>
      <c r="AI75" s="240">
        <f t="shared" si="30"/>
        <v>47360000</v>
      </c>
      <c r="AJ75" s="241">
        <f t="shared" si="31"/>
        <v>47360000</v>
      </c>
      <c r="AL75" s="239">
        <f t="shared" si="44"/>
        <v>158444444.44444445</v>
      </c>
      <c r="AM75" s="17">
        <f t="shared" si="6"/>
        <v>80806666.666666672</v>
      </c>
      <c r="AN75" s="17">
        <f t="shared" si="32"/>
        <v>38818888.888888888</v>
      </c>
      <c r="AO75" s="233">
        <f t="shared" si="33"/>
        <v>38818888.888888888</v>
      </c>
      <c r="AQ75" s="242">
        <f t="shared" si="7"/>
        <v>353642222.22222227</v>
      </c>
      <c r="AR75" s="17">
        <f t="shared" si="48"/>
        <v>86178888.888888896</v>
      </c>
      <c r="AS75" s="233">
        <f t="shared" si="48"/>
        <v>86178888.888888896</v>
      </c>
      <c r="AU75" s="260">
        <f t="shared" si="45"/>
        <v>0.11987871939736348</v>
      </c>
      <c r="AW75" s="244">
        <f t="shared" si="9"/>
        <v>0.23212435233160622</v>
      </c>
      <c r="AY75" s="238">
        <f t="shared" si="41"/>
        <v>-327821111.1111111</v>
      </c>
      <c r="BA75" s="19">
        <f t="shared" si="34"/>
        <v>103000000</v>
      </c>
      <c r="BB75" s="19">
        <f t="shared" si="35"/>
        <v>66950000</v>
      </c>
      <c r="BC75" s="19">
        <f t="shared" si="10"/>
        <v>11845000</v>
      </c>
      <c r="BD75" s="19">
        <f t="shared" si="11"/>
        <v>515000</v>
      </c>
      <c r="BE75" s="19">
        <f t="shared" si="36"/>
        <v>23690000</v>
      </c>
    </row>
    <row r="76" spans="1:57">
      <c r="A76" s="81" t="s">
        <v>348</v>
      </c>
      <c r="B76" s="1">
        <v>2077</v>
      </c>
      <c r="C76" s="263">
        <v>4.0000000000000001E-3</v>
      </c>
      <c r="D76" s="264">
        <f t="shared" si="47"/>
        <v>765400000</v>
      </c>
      <c r="E76" s="344">
        <f t="shared" si="13"/>
        <v>1071559999.9999999</v>
      </c>
      <c r="F76" s="676">
        <f t="shared" si="37"/>
        <v>71000000</v>
      </c>
      <c r="G76" s="16">
        <f t="shared" si="38"/>
        <v>880209999.99999988</v>
      </c>
      <c r="H76" s="19">
        <f t="shared" si="42"/>
        <v>633751199.99999988</v>
      </c>
      <c r="I76" s="16">
        <f t="shared" si="14"/>
        <v>191350000</v>
      </c>
      <c r="J76" s="19">
        <f t="shared" si="15"/>
        <v>110217599.99999999</v>
      </c>
      <c r="K76" s="16">
        <f t="shared" si="16"/>
        <v>0</v>
      </c>
      <c r="L76" s="25">
        <f t="shared" si="17"/>
        <v>0</v>
      </c>
      <c r="M76" s="229">
        <f t="shared" si="18"/>
        <v>744000000</v>
      </c>
      <c r="N76" s="230">
        <f t="shared" si="19"/>
        <v>225000000</v>
      </c>
      <c r="O76" s="231">
        <f t="shared" si="20"/>
        <v>519000000</v>
      </c>
      <c r="P76" s="265">
        <f t="shared" si="39"/>
        <v>30000000</v>
      </c>
      <c r="Q76" s="233">
        <f t="shared" si="21"/>
        <v>489000000</v>
      </c>
      <c r="R76" s="659">
        <f t="shared" si="22"/>
        <v>416000000</v>
      </c>
      <c r="S76" s="665">
        <f t="shared" si="40"/>
        <v>73000000</v>
      </c>
      <c r="T76" s="266">
        <f t="shared" si="23"/>
        <v>103000000</v>
      </c>
      <c r="U76" s="124">
        <f t="shared" si="24"/>
        <v>7.3098591549295771</v>
      </c>
      <c r="V76" s="124">
        <f t="shared" si="25"/>
        <v>0.69431483071409916</v>
      </c>
      <c r="X76" s="379">
        <f t="shared" si="26"/>
        <v>744000000</v>
      </c>
      <c r="Z76" s="19">
        <v>5000000</v>
      </c>
      <c r="AA76" s="236">
        <f t="shared" si="43"/>
        <v>-220000000</v>
      </c>
      <c r="AB76" s="237">
        <f t="shared" si="27"/>
        <v>529000000</v>
      </c>
      <c r="AD76" s="238">
        <f t="shared" si="4"/>
        <v>236000000</v>
      </c>
      <c r="AE76" s="238">
        <f t="shared" si="28"/>
        <v>293000000</v>
      </c>
      <c r="AF76" s="17"/>
      <c r="AG76" s="239">
        <f t="shared" si="5"/>
        <v>131555555.55555555</v>
      </c>
      <c r="AH76" s="262">
        <f t="shared" si="29"/>
        <v>36835555.555555552</v>
      </c>
      <c r="AI76" s="240">
        <f t="shared" si="30"/>
        <v>47360000</v>
      </c>
      <c r="AJ76" s="241">
        <f t="shared" si="31"/>
        <v>47360000</v>
      </c>
      <c r="AL76" s="239">
        <f t="shared" si="44"/>
        <v>161444444.44444445</v>
      </c>
      <c r="AM76" s="17">
        <f t="shared" si="6"/>
        <v>82336666.666666672</v>
      </c>
      <c r="AN76" s="17">
        <f t="shared" si="32"/>
        <v>39553888.888888888</v>
      </c>
      <c r="AO76" s="233">
        <f t="shared" si="33"/>
        <v>39553888.888888888</v>
      </c>
      <c r="AQ76" s="242">
        <f t="shared" si="7"/>
        <v>355172222.22222227</v>
      </c>
      <c r="AR76" s="17">
        <f t="shared" si="48"/>
        <v>86913888.888888896</v>
      </c>
      <c r="AS76" s="233">
        <f t="shared" si="48"/>
        <v>86913888.888888896</v>
      </c>
      <c r="AU76" s="260">
        <f t="shared" si="45"/>
        <v>0.12039736346516008</v>
      </c>
      <c r="AW76" s="244">
        <f t="shared" si="9"/>
        <v>0.23219814241486067</v>
      </c>
      <c r="AY76" s="238">
        <f t="shared" si="41"/>
        <v>-329086111.1111111</v>
      </c>
      <c r="BA76" s="19">
        <f t="shared" si="34"/>
        <v>103000000</v>
      </c>
      <c r="BB76" s="19">
        <f t="shared" si="35"/>
        <v>66950000</v>
      </c>
      <c r="BC76" s="19">
        <f t="shared" si="10"/>
        <v>11845000</v>
      </c>
      <c r="BD76" s="19">
        <f t="shared" si="11"/>
        <v>515000</v>
      </c>
      <c r="BE76" s="19">
        <f t="shared" si="36"/>
        <v>23690000</v>
      </c>
    </row>
    <row r="77" spans="1:57">
      <c r="A77" s="81" t="s">
        <v>349</v>
      </c>
      <c r="B77" s="1">
        <v>2078</v>
      </c>
      <c r="C77" s="263">
        <v>4.0000000000000001E-3</v>
      </c>
      <c r="D77" s="264">
        <f t="shared" si="47"/>
        <v>768500000</v>
      </c>
      <c r="E77" s="344">
        <f t="shared" si="13"/>
        <v>1075900000</v>
      </c>
      <c r="F77" s="676">
        <f t="shared" si="37"/>
        <v>72000000</v>
      </c>
      <c r="G77" s="16">
        <f t="shared" si="38"/>
        <v>883774999.99999988</v>
      </c>
      <c r="H77" s="19">
        <f t="shared" si="42"/>
        <v>636317999.99999988</v>
      </c>
      <c r="I77" s="16">
        <f t="shared" si="14"/>
        <v>192125000.00000012</v>
      </c>
      <c r="J77" s="19">
        <f t="shared" si="15"/>
        <v>110664000.00000006</v>
      </c>
      <c r="K77" s="16">
        <f t="shared" si="16"/>
        <v>0</v>
      </c>
      <c r="L77" s="25">
        <f t="shared" si="17"/>
        <v>0</v>
      </c>
      <c r="M77" s="229">
        <f t="shared" si="18"/>
        <v>747000000</v>
      </c>
      <c r="N77" s="230">
        <f t="shared" si="19"/>
        <v>226000000</v>
      </c>
      <c r="O77" s="231">
        <f t="shared" si="20"/>
        <v>521000000</v>
      </c>
      <c r="P77" s="265">
        <f t="shared" si="39"/>
        <v>30000000</v>
      </c>
      <c r="Q77" s="233">
        <f t="shared" si="21"/>
        <v>491000000</v>
      </c>
      <c r="R77" s="659">
        <f t="shared" si="22"/>
        <v>417000000</v>
      </c>
      <c r="S77" s="665">
        <f t="shared" si="40"/>
        <v>74000000</v>
      </c>
      <c r="T77" s="266">
        <f t="shared" si="23"/>
        <v>104000000</v>
      </c>
      <c r="U77" s="124">
        <f t="shared" si="24"/>
        <v>7.2361111111111107</v>
      </c>
      <c r="V77" s="124">
        <f t="shared" si="25"/>
        <v>0.69430244446509903</v>
      </c>
      <c r="X77" s="379">
        <f t="shared" si="26"/>
        <v>747000000</v>
      </c>
      <c r="Z77" s="19">
        <v>5000000</v>
      </c>
      <c r="AA77" s="236">
        <f t="shared" si="43"/>
        <v>-220000000</v>
      </c>
      <c r="AB77" s="237">
        <f t="shared" si="27"/>
        <v>532000000</v>
      </c>
      <c r="AD77" s="238">
        <f t="shared" si="4"/>
        <v>236000000</v>
      </c>
      <c r="AE77" s="238">
        <f t="shared" si="28"/>
        <v>296000000</v>
      </c>
      <c r="AF77" s="17"/>
      <c r="AG77" s="239">
        <f t="shared" si="5"/>
        <v>131555555.55555555</v>
      </c>
      <c r="AH77" s="262">
        <f t="shared" si="29"/>
        <v>36835555.555555552</v>
      </c>
      <c r="AI77" s="240">
        <f t="shared" si="30"/>
        <v>47360000</v>
      </c>
      <c r="AJ77" s="241">
        <f t="shared" si="31"/>
        <v>47360000</v>
      </c>
      <c r="AL77" s="239">
        <f t="shared" si="44"/>
        <v>164444444.44444445</v>
      </c>
      <c r="AM77" s="17">
        <f t="shared" si="6"/>
        <v>83866666.666666672</v>
      </c>
      <c r="AN77" s="17">
        <f t="shared" si="32"/>
        <v>40288888.888888888</v>
      </c>
      <c r="AO77" s="233">
        <f t="shared" si="33"/>
        <v>40288888.888888888</v>
      </c>
      <c r="AQ77" s="242">
        <f t="shared" si="7"/>
        <v>356702222.22222227</v>
      </c>
      <c r="AR77" s="17">
        <f t="shared" si="48"/>
        <v>87648888.888888896</v>
      </c>
      <c r="AS77" s="233">
        <f t="shared" si="48"/>
        <v>87648888.888888896</v>
      </c>
      <c r="AU77" s="260">
        <f t="shared" si="45"/>
        <v>0.1209160075329567</v>
      </c>
      <c r="AW77" s="244">
        <f t="shared" si="9"/>
        <v>0.23227132579650564</v>
      </c>
      <c r="AY77" s="238">
        <f t="shared" si="41"/>
        <v>-329351111.1111111</v>
      </c>
      <c r="BA77" s="19">
        <f t="shared" si="34"/>
        <v>104000000</v>
      </c>
      <c r="BB77" s="19">
        <f t="shared" si="35"/>
        <v>67600000</v>
      </c>
      <c r="BC77" s="19">
        <f t="shared" si="10"/>
        <v>11960000</v>
      </c>
      <c r="BD77" s="19">
        <f t="shared" si="11"/>
        <v>520000</v>
      </c>
      <c r="BE77" s="19">
        <f t="shared" si="36"/>
        <v>23920000</v>
      </c>
    </row>
    <row r="78" spans="1:57">
      <c r="A78" s="81" t="s">
        <v>350</v>
      </c>
      <c r="B78" s="1">
        <v>2079</v>
      </c>
      <c r="C78" s="263">
        <v>4.0000000000000001E-3</v>
      </c>
      <c r="D78" s="264">
        <f t="shared" si="47"/>
        <v>771600000</v>
      </c>
      <c r="E78" s="344">
        <f t="shared" si="13"/>
        <v>1080240000</v>
      </c>
      <c r="F78" s="676">
        <f t="shared" si="37"/>
        <v>72000000</v>
      </c>
      <c r="G78" s="16">
        <f t="shared" si="38"/>
        <v>887339999.99999988</v>
      </c>
      <c r="H78" s="19">
        <f t="shared" si="42"/>
        <v>638884799.99999988</v>
      </c>
      <c r="I78" s="16">
        <f t="shared" si="14"/>
        <v>192900000.00000012</v>
      </c>
      <c r="J78" s="19">
        <f t="shared" si="15"/>
        <v>111110400.00000006</v>
      </c>
      <c r="K78" s="16">
        <f t="shared" si="16"/>
        <v>0</v>
      </c>
      <c r="L78" s="25">
        <f t="shared" si="17"/>
        <v>0</v>
      </c>
      <c r="M78" s="229">
        <f t="shared" si="18"/>
        <v>750000000</v>
      </c>
      <c r="N78" s="230">
        <f t="shared" si="19"/>
        <v>227000000</v>
      </c>
      <c r="O78" s="231">
        <f t="shared" si="20"/>
        <v>523000000</v>
      </c>
      <c r="P78" s="265">
        <f t="shared" si="39"/>
        <v>30000000</v>
      </c>
      <c r="Q78" s="233">
        <f t="shared" si="21"/>
        <v>493000000</v>
      </c>
      <c r="R78" s="659">
        <f t="shared" si="22"/>
        <v>419000000</v>
      </c>
      <c r="S78" s="665">
        <f t="shared" si="40"/>
        <v>74000000</v>
      </c>
      <c r="T78" s="266">
        <f t="shared" si="23"/>
        <v>104000000</v>
      </c>
      <c r="U78" s="124">
        <f t="shared" si="24"/>
        <v>7.2638888888888893</v>
      </c>
      <c r="V78" s="124">
        <f t="shared" si="25"/>
        <v>0.69429015774272385</v>
      </c>
      <c r="X78" s="379">
        <f t="shared" si="26"/>
        <v>750000000</v>
      </c>
      <c r="Z78" s="19">
        <v>5000000</v>
      </c>
      <c r="AA78" s="236">
        <f t="shared" si="43"/>
        <v>-220000000</v>
      </c>
      <c r="AB78" s="237">
        <f t="shared" si="27"/>
        <v>535000000</v>
      </c>
      <c r="AD78" s="238">
        <f t="shared" si="4"/>
        <v>236000000</v>
      </c>
      <c r="AE78" s="238">
        <f t="shared" si="28"/>
        <v>299000000</v>
      </c>
      <c r="AF78" s="17"/>
      <c r="AG78" s="239">
        <f t="shared" si="5"/>
        <v>131555555.55555555</v>
      </c>
      <c r="AH78" s="262">
        <f t="shared" si="29"/>
        <v>36835555.555555552</v>
      </c>
      <c r="AI78" s="240">
        <f t="shared" si="30"/>
        <v>47360000</v>
      </c>
      <c r="AJ78" s="241">
        <f t="shared" si="31"/>
        <v>47360000</v>
      </c>
      <c r="AL78" s="239">
        <f t="shared" si="44"/>
        <v>167444444.44444445</v>
      </c>
      <c r="AM78" s="17">
        <f t="shared" si="6"/>
        <v>85396666.666666672</v>
      </c>
      <c r="AN78" s="17">
        <f t="shared" si="32"/>
        <v>41023888.888888888</v>
      </c>
      <c r="AO78" s="233">
        <f t="shared" si="33"/>
        <v>41023888.888888888</v>
      </c>
      <c r="AQ78" s="242">
        <f t="shared" si="7"/>
        <v>358232222.22222227</v>
      </c>
      <c r="AR78" s="17">
        <f t="shared" si="48"/>
        <v>88383888.888888896</v>
      </c>
      <c r="AS78" s="233">
        <f t="shared" si="48"/>
        <v>88383888.888888896</v>
      </c>
      <c r="AU78" s="260">
        <f t="shared" si="45"/>
        <v>0.12143465160075331</v>
      </c>
      <c r="AW78" s="244">
        <f t="shared" si="9"/>
        <v>0.2323439099283521</v>
      </c>
      <c r="AY78" s="238">
        <f t="shared" si="41"/>
        <v>-330616111.1111111</v>
      </c>
      <c r="BA78" s="19">
        <f t="shared" si="34"/>
        <v>104000000</v>
      </c>
      <c r="BB78" s="19">
        <f t="shared" si="35"/>
        <v>67600000</v>
      </c>
      <c r="BC78" s="19">
        <f t="shared" si="10"/>
        <v>11960000</v>
      </c>
      <c r="BD78" s="19">
        <f t="shared" si="11"/>
        <v>520000</v>
      </c>
      <c r="BE78" s="19">
        <f t="shared" si="36"/>
        <v>23920000</v>
      </c>
    </row>
    <row r="79" spans="1:57">
      <c r="A79" s="81" t="s">
        <v>389</v>
      </c>
      <c r="B79" s="1">
        <v>2080</v>
      </c>
      <c r="C79" s="263">
        <v>4.0000000000000001E-3</v>
      </c>
      <c r="D79" s="264">
        <f t="shared" si="47"/>
        <v>774700000</v>
      </c>
      <c r="E79" s="344">
        <f t="shared" si="13"/>
        <v>1084580000</v>
      </c>
      <c r="F79" s="676">
        <f t="shared" si="37"/>
        <v>72000000</v>
      </c>
      <c r="G79" s="16">
        <f t="shared" si="38"/>
        <v>890904999.99999988</v>
      </c>
      <c r="H79" s="19">
        <f t="shared" si="42"/>
        <v>641451599.99999988</v>
      </c>
      <c r="I79" s="16">
        <f t="shared" si="14"/>
        <v>193675000.00000012</v>
      </c>
      <c r="J79" s="19">
        <f t="shared" si="15"/>
        <v>111556800.00000006</v>
      </c>
      <c r="K79" s="16">
        <f t="shared" si="16"/>
        <v>0</v>
      </c>
      <c r="L79" s="25">
        <f t="shared" si="17"/>
        <v>0</v>
      </c>
      <c r="M79" s="229">
        <f t="shared" si="18"/>
        <v>753000000</v>
      </c>
      <c r="N79" s="230">
        <f t="shared" si="19"/>
        <v>228000000</v>
      </c>
      <c r="O79" s="231">
        <f t="shared" si="20"/>
        <v>525000000</v>
      </c>
      <c r="P79" s="265">
        <f t="shared" si="39"/>
        <v>30000000</v>
      </c>
      <c r="Q79" s="233">
        <f t="shared" si="21"/>
        <v>495000000</v>
      </c>
      <c r="R79" s="659">
        <f t="shared" si="22"/>
        <v>421000000</v>
      </c>
      <c r="S79" s="665">
        <f t="shared" si="40"/>
        <v>74000000</v>
      </c>
      <c r="T79" s="266">
        <f t="shared" si="23"/>
        <v>104000000</v>
      </c>
      <c r="U79" s="124">
        <f t="shared" si="24"/>
        <v>7.291666666666667</v>
      </c>
      <c r="V79" s="124">
        <f t="shared" si="25"/>
        <v>0.69427796935219166</v>
      </c>
      <c r="X79" s="379">
        <f t="shared" si="26"/>
        <v>753000000</v>
      </c>
      <c r="Z79" s="19">
        <v>5000000</v>
      </c>
      <c r="AA79" s="236">
        <f t="shared" si="43"/>
        <v>-220000000</v>
      </c>
      <c r="AB79" s="237">
        <f t="shared" si="27"/>
        <v>538000000</v>
      </c>
      <c r="AD79" s="238">
        <f t="shared" si="4"/>
        <v>236000000</v>
      </c>
      <c r="AE79" s="238">
        <f t="shared" si="28"/>
        <v>302000000</v>
      </c>
      <c r="AF79" s="17"/>
      <c r="AG79" s="239">
        <f t="shared" si="5"/>
        <v>131555555.55555555</v>
      </c>
      <c r="AH79" s="262">
        <f t="shared" si="29"/>
        <v>36835555.555555552</v>
      </c>
      <c r="AI79" s="240">
        <f t="shared" si="30"/>
        <v>47360000</v>
      </c>
      <c r="AJ79" s="241">
        <f t="shared" si="31"/>
        <v>47360000</v>
      </c>
      <c r="AL79" s="239">
        <f t="shared" si="44"/>
        <v>170444444.44444445</v>
      </c>
      <c r="AM79" s="17">
        <f t="shared" si="6"/>
        <v>86926666.666666672</v>
      </c>
      <c r="AN79" s="17">
        <f t="shared" si="32"/>
        <v>41758888.888888888</v>
      </c>
      <c r="AO79" s="233">
        <f t="shared" si="33"/>
        <v>41758888.888888888</v>
      </c>
      <c r="AQ79" s="242">
        <f t="shared" si="7"/>
        <v>359762222.22222227</v>
      </c>
      <c r="AR79" s="17">
        <f t="shared" si="48"/>
        <v>89118888.888888896</v>
      </c>
      <c r="AS79" s="233">
        <f t="shared" si="48"/>
        <v>89118888.888888896</v>
      </c>
      <c r="AU79" s="260">
        <f t="shared" si="45"/>
        <v>0.12195329566854993</v>
      </c>
      <c r="AW79" s="244">
        <f t="shared" si="9"/>
        <v>0.23241590214067279</v>
      </c>
      <c r="AY79" s="238">
        <f t="shared" si="41"/>
        <v>-331881111.1111111</v>
      </c>
      <c r="BA79" s="19">
        <f t="shared" si="34"/>
        <v>104000000</v>
      </c>
      <c r="BB79" s="19">
        <f t="shared" si="35"/>
        <v>67600000</v>
      </c>
      <c r="BC79" s="19">
        <f t="shared" si="10"/>
        <v>11960000</v>
      </c>
      <c r="BD79" s="19">
        <f t="shared" si="11"/>
        <v>520000</v>
      </c>
      <c r="BE79" s="19">
        <f t="shared" si="36"/>
        <v>23920000</v>
      </c>
    </row>
    <row r="80" spans="1:57">
      <c r="A80" s="81" t="s">
        <v>390</v>
      </c>
      <c r="B80" s="1">
        <v>2081</v>
      </c>
      <c r="C80" s="263">
        <v>4.0000000000000001E-3</v>
      </c>
      <c r="D80" s="264">
        <f t="shared" si="47"/>
        <v>777800000</v>
      </c>
      <c r="E80" s="344">
        <f t="shared" si="13"/>
        <v>1088920000</v>
      </c>
      <c r="F80" s="676">
        <f t="shared" si="37"/>
        <v>73000000</v>
      </c>
      <c r="G80" s="16">
        <f t="shared" si="38"/>
        <v>894469999.99999988</v>
      </c>
      <c r="H80" s="19">
        <f t="shared" si="42"/>
        <v>644018399.99999988</v>
      </c>
      <c r="I80" s="16">
        <f t="shared" si="14"/>
        <v>194450000.00000012</v>
      </c>
      <c r="J80" s="19">
        <f t="shared" si="15"/>
        <v>112003200.00000006</v>
      </c>
      <c r="K80" s="16">
        <f t="shared" si="16"/>
        <v>0</v>
      </c>
      <c r="L80" s="25">
        <f t="shared" si="17"/>
        <v>0</v>
      </c>
      <c r="M80" s="229">
        <f t="shared" si="18"/>
        <v>756000000</v>
      </c>
      <c r="N80" s="230">
        <f t="shared" si="19"/>
        <v>229000000</v>
      </c>
      <c r="O80" s="231">
        <f t="shared" si="20"/>
        <v>527000000</v>
      </c>
      <c r="P80" s="265">
        <f t="shared" si="39"/>
        <v>30000000</v>
      </c>
      <c r="Q80" s="233">
        <f t="shared" si="21"/>
        <v>497000000</v>
      </c>
      <c r="R80" s="659">
        <f t="shared" si="22"/>
        <v>422000000</v>
      </c>
      <c r="S80" s="665">
        <f t="shared" si="40"/>
        <v>75000000</v>
      </c>
      <c r="T80" s="266">
        <f t="shared" si="23"/>
        <v>105000000</v>
      </c>
      <c r="U80" s="124">
        <f t="shared" si="24"/>
        <v>7.2191780821917808</v>
      </c>
      <c r="V80" s="124">
        <f t="shared" si="25"/>
        <v>0.69426587811776808</v>
      </c>
      <c r="X80" s="379">
        <f t="shared" si="26"/>
        <v>756000000</v>
      </c>
      <c r="Z80" s="19">
        <v>5000000</v>
      </c>
      <c r="AA80" s="236">
        <f t="shared" si="43"/>
        <v>-220000000</v>
      </c>
      <c r="AB80" s="237">
        <f t="shared" si="27"/>
        <v>541000000</v>
      </c>
      <c r="AD80" s="238">
        <f t="shared" si="4"/>
        <v>236000000</v>
      </c>
      <c r="AE80" s="238">
        <f t="shared" si="28"/>
        <v>305000000</v>
      </c>
      <c r="AF80" s="17"/>
      <c r="AG80" s="239">
        <f t="shared" si="5"/>
        <v>131555555.55555555</v>
      </c>
      <c r="AH80" s="262">
        <f t="shared" si="29"/>
        <v>36835555.555555552</v>
      </c>
      <c r="AI80" s="240">
        <f t="shared" si="30"/>
        <v>47360000</v>
      </c>
      <c r="AJ80" s="241">
        <f t="shared" si="31"/>
        <v>47360000</v>
      </c>
      <c r="AL80" s="239">
        <f t="shared" si="44"/>
        <v>173444444.44444445</v>
      </c>
      <c r="AM80" s="17">
        <f t="shared" si="6"/>
        <v>88456666.666666672</v>
      </c>
      <c r="AN80" s="17">
        <f t="shared" si="32"/>
        <v>42493888.888888888</v>
      </c>
      <c r="AO80" s="233">
        <f t="shared" si="33"/>
        <v>42493888.888888888</v>
      </c>
      <c r="AQ80" s="242">
        <f t="shared" si="7"/>
        <v>361292222.22222227</v>
      </c>
      <c r="AR80" s="17">
        <f t="shared" si="48"/>
        <v>89853888.888888896</v>
      </c>
      <c r="AS80" s="233">
        <f t="shared" si="48"/>
        <v>89853888.888888896</v>
      </c>
      <c r="AU80" s="260">
        <f t="shared" si="45"/>
        <v>0.12247193973634653</v>
      </c>
      <c r="AW80" s="244">
        <f t="shared" si="9"/>
        <v>0.23248730964467004</v>
      </c>
      <c r="AY80" s="238">
        <f t="shared" si="41"/>
        <v>-332146111.1111111</v>
      </c>
      <c r="BA80" s="19">
        <f t="shared" si="34"/>
        <v>105000000</v>
      </c>
      <c r="BB80" s="19">
        <f t="shared" si="35"/>
        <v>68250000</v>
      </c>
      <c r="BC80" s="19">
        <f t="shared" si="10"/>
        <v>12075000</v>
      </c>
      <c r="BD80" s="19">
        <f t="shared" si="11"/>
        <v>525000</v>
      </c>
      <c r="BE80" s="19">
        <f t="shared" si="36"/>
        <v>24150000</v>
      </c>
    </row>
    <row r="81" spans="1:57">
      <c r="A81" s="81" t="s">
        <v>351</v>
      </c>
      <c r="B81" s="1">
        <v>2082</v>
      </c>
      <c r="C81" s="263">
        <v>4.0000000000000001E-3</v>
      </c>
      <c r="D81" s="264">
        <f t="shared" si="47"/>
        <v>780900000</v>
      </c>
      <c r="E81" s="344">
        <f t="shared" si="13"/>
        <v>1093260000</v>
      </c>
      <c r="F81" s="676">
        <f t="shared" si="37"/>
        <v>73000000</v>
      </c>
      <c r="G81" s="16">
        <f t="shared" si="38"/>
        <v>898034999.99999988</v>
      </c>
      <c r="H81" s="19">
        <f t="shared" si="42"/>
        <v>646585199.99999988</v>
      </c>
      <c r="I81" s="16">
        <f t="shared" si="14"/>
        <v>195225000.00000012</v>
      </c>
      <c r="J81" s="19">
        <f t="shared" si="15"/>
        <v>112449600.00000006</v>
      </c>
      <c r="K81" s="16">
        <f t="shared" si="16"/>
        <v>0</v>
      </c>
      <c r="L81" s="25">
        <f t="shared" si="17"/>
        <v>0</v>
      </c>
      <c r="M81" s="229">
        <f t="shared" si="18"/>
        <v>759000000</v>
      </c>
      <c r="N81" s="230">
        <f t="shared" si="19"/>
        <v>230000000</v>
      </c>
      <c r="O81" s="231">
        <f t="shared" si="20"/>
        <v>529000000</v>
      </c>
      <c r="P81" s="265">
        <f t="shared" si="39"/>
        <v>30000000</v>
      </c>
      <c r="Q81" s="233">
        <f t="shared" si="21"/>
        <v>499000000</v>
      </c>
      <c r="R81" s="659">
        <f t="shared" si="22"/>
        <v>424000000</v>
      </c>
      <c r="S81" s="665">
        <f t="shared" si="40"/>
        <v>75000000</v>
      </c>
      <c r="T81" s="266">
        <f t="shared" si="23"/>
        <v>105000000</v>
      </c>
      <c r="U81" s="124">
        <f t="shared" si="24"/>
        <v>7.2465753424657535</v>
      </c>
      <c r="V81" s="124">
        <f t="shared" si="25"/>
        <v>0.69425388288238843</v>
      </c>
      <c r="X81" s="379">
        <f t="shared" si="26"/>
        <v>759000000</v>
      </c>
      <c r="Z81" s="19">
        <v>5000000</v>
      </c>
      <c r="AA81" s="236">
        <f t="shared" si="43"/>
        <v>-220000000</v>
      </c>
      <c r="AB81" s="237">
        <f t="shared" si="27"/>
        <v>544000000</v>
      </c>
      <c r="AD81" s="238">
        <f t="shared" si="4"/>
        <v>236000000</v>
      </c>
      <c r="AE81" s="238">
        <f t="shared" si="28"/>
        <v>308000000</v>
      </c>
      <c r="AF81" s="17"/>
      <c r="AG81" s="239">
        <f t="shared" si="5"/>
        <v>131555555.55555555</v>
      </c>
      <c r="AH81" s="262">
        <f t="shared" si="29"/>
        <v>36835555.555555552</v>
      </c>
      <c r="AI81" s="240">
        <f t="shared" si="30"/>
        <v>47360000</v>
      </c>
      <c r="AJ81" s="241">
        <f t="shared" si="31"/>
        <v>47360000</v>
      </c>
      <c r="AL81" s="239">
        <f t="shared" si="44"/>
        <v>176444444.44444445</v>
      </c>
      <c r="AM81" s="17">
        <f t="shared" si="6"/>
        <v>89986666.666666672</v>
      </c>
      <c r="AN81" s="17">
        <f t="shared" si="32"/>
        <v>43228888.888888888</v>
      </c>
      <c r="AO81" s="233">
        <f t="shared" si="33"/>
        <v>43228888.888888888</v>
      </c>
      <c r="AQ81" s="242">
        <f t="shared" si="7"/>
        <v>362822222.22222227</v>
      </c>
      <c r="AR81" s="17">
        <f t="shared" ref="AR81:AS116" si="50">AI81+AN81</f>
        <v>90588888.888888896</v>
      </c>
      <c r="AS81" s="233">
        <f t="shared" si="50"/>
        <v>90588888.888888896</v>
      </c>
      <c r="AU81" s="260">
        <f t="shared" si="45"/>
        <v>0.12299058380414314</v>
      </c>
      <c r="AW81" s="244">
        <f t="shared" si="9"/>
        <v>0.23255813953488372</v>
      </c>
      <c r="AY81" s="238">
        <f t="shared" si="41"/>
        <v>-333411111.1111111</v>
      </c>
      <c r="BA81" s="19">
        <f t="shared" si="34"/>
        <v>105000000</v>
      </c>
      <c r="BB81" s="19">
        <f t="shared" si="35"/>
        <v>68250000</v>
      </c>
      <c r="BC81" s="19">
        <f t="shared" si="10"/>
        <v>12075000</v>
      </c>
      <c r="BD81" s="19">
        <f t="shared" si="11"/>
        <v>525000</v>
      </c>
      <c r="BE81" s="19">
        <f t="shared" si="36"/>
        <v>24150000</v>
      </c>
    </row>
    <row r="82" spans="1:57">
      <c r="A82" s="81" t="s">
        <v>352</v>
      </c>
      <c r="B82" s="1">
        <v>2083</v>
      </c>
      <c r="C82" s="263">
        <v>4.0000000000000001E-3</v>
      </c>
      <c r="D82" s="264">
        <f t="shared" si="47"/>
        <v>784000000</v>
      </c>
      <c r="E82" s="344">
        <f t="shared" si="13"/>
        <v>1097600000</v>
      </c>
      <c r="F82" s="676">
        <f t="shared" si="37"/>
        <v>73000000</v>
      </c>
      <c r="G82" s="16">
        <f t="shared" si="38"/>
        <v>901599999.99999988</v>
      </c>
      <c r="H82" s="19">
        <f t="shared" si="42"/>
        <v>649151999.99999988</v>
      </c>
      <c r="I82" s="16">
        <f t="shared" si="14"/>
        <v>196000000.00000012</v>
      </c>
      <c r="J82" s="19">
        <f t="shared" si="15"/>
        <v>112896000.00000006</v>
      </c>
      <c r="K82" s="16">
        <f t="shared" si="16"/>
        <v>0</v>
      </c>
      <c r="L82" s="25">
        <f t="shared" si="17"/>
        <v>0</v>
      </c>
      <c r="M82" s="229">
        <f t="shared" si="18"/>
        <v>762000000</v>
      </c>
      <c r="N82" s="230">
        <f t="shared" si="19"/>
        <v>230000000</v>
      </c>
      <c r="O82" s="231">
        <f t="shared" si="20"/>
        <v>532000000</v>
      </c>
      <c r="P82" s="265">
        <f t="shared" si="39"/>
        <v>30000000</v>
      </c>
      <c r="Q82" s="233">
        <f t="shared" si="21"/>
        <v>502000000</v>
      </c>
      <c r="R82" s="659">
        <f t="shared" si="22"/>
        <v>427000000</v>
      </c>
      <c r="S82" s="665">
        <f t="shared" si="40"/>
        <v>75000000</v>
      </c>
      <c r="T82" s="266">
        <f t="shared" si="23"/>
        <v>105000000</v>
      </c>
      <c r="U82" s="124">
        <f t="shared" si="24"/>
        <v>7.2876712328767121</v>
      </c>
      <c r="V82" s="124">
        <f t="shared" si="25"/>
        <v>0.69424198250728864</v>
      </c>
      <c r="X82" s="379">
        <f t="shared" si="26"/>
        <v>762000000</v>
      </c>
      <c r="Z82" s="19">
        <v>5000000</v>
      </c>
      <c r="AA82" s="236">
        <f t="shared" si="43"/>
        <v>-220000000</v>
      </c>
      <c r="AB82" s="237">
        <f t="shared" si="27"/>
        <v>547000000</v>
      </c>
      <c r="AD82" s="238">
        <f t="shared" si="4"/>
        <v>236000000</v>
      </c>
      <c r="AE82" s="238">
        <f t="shared" si="28"/>
        <v>311000000</v>
      </c>
      <c r="AF82" s="17"/>
      <c r="AG82" s="239">
        <f t="shared" si="5"/>
        <v>131555555.55555555</v>
      </c>
      <c r="AH82" s="262">
        <f t="shared" si="29"/>
        <v>36835555.555555552</v>
      </c>
      <c r="AI82" s="240">
        <f t="shared" si="30"/>
        <v>47360000</v>
      </c>
      <c r="AJ82" s="241">
        <f t="shared" si="31"/>
        <v>47360000</v>
      </c>
      <c r="AL82" s="239">
        <f t="shared" si="44"/>
        <v>179444444.44444445</v>
      </c>
      <c r="AM82" s="17">
        <f t="shared" si="6"/>
        <v>91516666.666666672</v>
      </c>
      <c r="AN82" s="17">
        <f t="shared" si="32"/>
        <v>43963888.888888888</v>
      </c>
      <c r="AO82" s="233">
        <f t="shared" si="33"/>
        <v>43963888.888888888</v>
      </c>
      <c r="AQ82" s="242">
        <f t="shared" si="7"/>
        <v>364352222.22222227</v>
      </c>
      <c r="AR82" s="17">
        <f t="shared" si="50"/>
        <v>91323888.888888896</v>
      </c>
      <c r="AS82" s="233">
        <f t="shared" si="50"/>
        <v>91323888.888888896</v>
      </c>
      <c r="AU82" s="260">
        <f t="shared" si="45"/>
        <v>0.12350922787193976</v>
      </c>
      <c r="AW82" s="244">
        <f t="shared" si="9"/>
        <v>0.23185483870967741</v>
      </c>
      <c r="AY82" s="238">
        <f t="shared" si="41"/>
        <v>-335676111.1111111</v>
      </c>
      <c r="BA82" s="19">
        <f t="shared" si="34"/>
        <v>105000000</v>
      </c>
      <c r="BB82" s="19">
        <f t="shared" si="35"/>
        <v>68250000</v>
      </c>
      <c r="BC82" s="19">
        <f t="shared" si="10"/>
        <v>12075000</v>
      </c>
      <c r="BD82" s="19">
        <f t="shared" si="11"/>
        <v>525000</v>
      </c>
      <c r="BE82" s="19">
        <f t="shared" si="36"/>
        <v>24150000</v>
      </c>
    </row>
    <row r="83" spans="1:57">
      <c r="A83" s="81" t="s">
        <v>353</v>
      </c>
      <c r="B83" s="1">
        <v>2084</v>
      </c>
      <c r="C83" s="263">
        <v>4.0000000000000001E-3</v>
      </c>
      <c r="D83" s="264">
        <f t="shared" si="47"/>
        <v>787100000</v>
      </c>
      <c r="E83" s="344">
        <f t="shared" si="13"/>
        <v>1101940000</v>
      </c>
      <c r="F83" s="676">
        <f t="shared" si="37"/>
        <v>73000000</v>
      </c>
      <c r="G83" s="16">
        <f t="shared" si="38"/>
        <v>905164999.99999988</v>
      </c>
      <c r="H83" s="19">
        <f t="shared" si="42"/>
        <v>651718799.99999988</v>
      </c>
      <c r="I83" s="16">
        <f t="shared" si="14"/>
        <v>196775000.00000012</v>
      </c>
      <c r="J83" s="19">
        <f t="shared" si="15"/>
        <v>113342400.00000006</v>
      </c>
      <c r="K83" s="16">
        <f t="shared" si="16"/>
        <v>0</v>
      </c>
      <c r="L83" s="25">
        <f t="shared" si="17"/>
        <v>0</v>
      </c>
      <c r="M83" s="229">
        <f t="shared" si="18"/>
        <v>765000000</v>
      </c>
      <c r="N83" s="230">
        <f t="shared" si="19"/>
        <v>231000000</v>
      </c>
      <c r="O83" s="231">
        <f t="shared" si="20"/>
        <v>534000000</v>
      </c>
      <c r="P83" s="265">
        <f t="shared" si="39"/>
        <v>30000000</v>
      </c>
      <c r="Q83" s="233">
        <f t="shared" si="21"/>
        <v>504000000</v>
      </c>
      <c r="R83" s="659">
        <f t="shared" si="22"/>
        <v>428000000</v>
      </c>
      <c r="S83" s="665">
        <f t="shared" si="40"/>
        <v>76000000</v>
      </c>
      <c r="T83" s="266">
        <f t="shared" si="23"/>
        <v>106000000</v>
      </c>
      <c r="U83" s="124">
        <f t="shared" si="24"/>
        <v>7.3150684931506849</v>
      </c>
      <c r="V83" s="124">
        <f t="shared" si="25"/>
        <v>0.69423017587164459</v>
      </c>
      <c r="X83" s="379">
        <f t="shared" si="26"/>
        <v>765000000</v>
      </c>
      <c r="Z83" s="19">
        <v>5000000</v>
      </c>
      <c r="AA83" s="236">
        <f t="shared" si="43"/>
        <v>-220000000</v>
      </c>
      <c r="AB83" s="237">
        <f t="shared" si="27"/>
        <v>550000000</v>
      </c>
      <c r="AD83" s="238">
        <f t="shared" si="4"/>
        <v>236000000</v>
      </c>
      <c r="AE83" s="238">
        <f t="shared" si="28"/>
        <v>314000000</v>
      </c>
      <c r="AF83" s="17"/>
      <c r="AG83" s="239">
        <f t="shared" si="5"/>
        <v>131555555.55555555</v>
      </c>
      <c r="AH83" s="262">
        <f t="shared" si="29"/>
        <v>36835555.555555552</v>
      </c>
      <c r="AI83" s="240">
        <f t="shared" si="30"/>
        <v>47360000</v>
      </c>
      <c r="AJ83" s="241">
        <f t="shared" si="31"/>
        <v>47360000</v>
      </c>
      <c r="AL83" s="239">
        <f t="shared" si="44"/>
        <v>182444444.44444445</v>
      </c>
      <c r="AM83" s="17">
        <f t="shared" si="6"/>
        <v>93046666.666666672</v>
      </c>
      <c r="AN83" s="17">
        <f t="shared" si="32"/>
        <v>44698888.888888888</v>
      </c>
      <c r="AO83" s="233">
        <f t="shared" si="33"/>
        <v>44698888.888888888</v>
      </c>
      <c r="AQ83" s="242">
        <f t="shared" si="7"/>
        <v>365882222.22222227</v>
      </c>
      <c r="AR83" s="17">
        <f t="shared" si="50"/>
        <v>92058888.888888896</v>
      </c>
      <c r="AS83" s="233">
        <f t="shared" si="50"/>
        <v>92058888.888888896</v>
      </c>
      <c r="AU83" s="260">
        <f t="shared" si="45"/>
        <v>0.12402787193973636</v>
      </c>
      <c r="AW83" s="244">
        <f t="shared" si="9"/>
        <v>0.23192771084337349</v>
      </c>
      <c r="AY83" s="238">
        <f t="shared" si="41"/>
        <v>-335941111.1111111</v>
      </c>
      <c r="BA83" s="19">
        <f t="shared" si="34"/>
        <v>106000000</v>
      </c>
      <c r="BB83" s="19">
        <f t="shared" si="35"/>
        <v>68900000</v>
      </c>
      <c r="BC83" s="19">
        <f t="shared" si="10"/>
        <v>12190000</v>
      </c>
      <c r="BD83" s="19">
        <f t="shared" si="11"/>
        <v>530000</v>
      </c>
      <c r="BE83" s="19">
        <f t="shared" si="36"/>
        <v>24380000</v>
      </c>
    </row>
    <row r="84" spans="1:57">
      <c r="A84" s="81" t="s">
        <v>354</v>
      </c>
      <c r="B84" s="1">
        <v>2085</v>
      </c>
      <c r="C84" s="263">
        <v>4.0000000000000001E-3</v>
      </c>
      <c r="D84" s="264">
        <f t="shared" si="47"/>
        <v>790200000</v>
      </c>
      <c r="E84" s="344">
        <f t="shared" si="13"/>
        <v>1106280000</v>
      </c>
      <c r="F84" s="676">
        <f t="shared" si="37"/>
        <v>74000000</v>
      </c>
      <c r="G84" s="16">
        <f t="shared" si="38"/>
        <v>908729999.99999988</v>
      </c>
      <c r="H84" s="19">
        <f t="shared" si="42"/>
        <v>654285599.99999988</v>
      </c>
      <c r="I84" s="16">
        <f t="shared" si="14"/>
        <v>197550000.00000012</v>
      </c>
      <c r="J84" s="19">
        <f t="shared" si="15"/>
        <v>113788800.00000006</v>
      </c>
      <c r="K84" s="16">
        <f t="shared" si="16"/>
        <v>0</v>
      </c>
      <c r="L84" s="25">
        <f t="shared" si="17"/>
        <v>0</v>
      </c>
      <c r="M84" s="229">
        <f t="shared" si="18"/>
        <v>768000000</v>
      </c>
      <c r="N84" s="230">
        <f t="shared" si="19"/>
        <v>232000000</v>
      </c>
      <c r="O84" s="231">
        <f t="shared" si="20"/>
        <v>536000000</v>
      </c>
      <c r="P84" s="265">
        <f t="shared" si="39"/>
        <v>30000000</v>
      </c>
      <c r="Q84" s="233">
        <f t="shared" si="21"/>
        <v>506000000</v>
      </c>
      <c r="R84" s="659">
        <f t="shared" si="22"/>
        <v>430000000</v>
      </c>
      <c r="S84" s="665">
        <f t="shared" si="40"/>
        <v>76000000</v>
      </c>
      <c r="T84" s="266">
        <f t="shared" si="23"/>
        <v>106000000</v>
      </c>
      <c r="U84" s="124">
        <f t="shared" si="24"/>
        <v>7.243243243243243</v>
      </c>
      <c r="V84" s="124">
        <f t="shared" si="25"/>
        <v>0.69421846187222036</v>
      </c>
      <c r="X84" s="379">
        <f t="shared" si="26"/>
        <v>768000000</v>
      </c>
      <c r="Z84" s="19">
        <v>5000000</v>
      </c>
      <c r="AA84" s="236">
        <f t="shared" si="43"/>
        <v>-220000000</v>
      </c>
      <c r="AB84" s="237">
        <f t="shared" si="27"/>
        <v>553000000</v>
      </c>
      <c r="AD84" s="238">
        <f t="shared" ref="AD84:AD116" si="51">IF(AB84&lt;AD$17,AB84,AD$17)</f>
        <v>236000000</v>
      </c>
      <c r="AE84" s="238">
        <f t="shared" si="28"/>
        <v>317000000</v>
      </c>
      <c r="AF84" s="17"/>
      <c r="AG84" s="239">
        <f t="shared" ref="AG84:AG116" si="52">IF(AE84&gt;AG$17,AG$17,AE84)</f>
        <v>131555555.55555555</v>
      </c>
      <c r="AH84" s="262">
        <f t="shared" si="29"/>
        <v>36835555.555555552</v>
      </c>
      <c r="AI84" s="240">
        <f t="shared" si="30"/>
        <v>47360000</v>
      </c>
      <c r="AJ84" s="241">
        <f t="shared" si="31"/>
        <v>47360000</v>
      </c>
      <c r="AL84" s="239">
        <f t="shared" si="44"/>
        <v>185444444.44444445</v>
      </c>
      <c r="AM84" s="17">
        <f t="shared" ref="AM84:AM116" si="53">AL84*0.51</f>
        <v>94576666.666666672</v>
      </c>
      <c r="AN84" s="17">
        <f t="shared" si="32"/>
        <v>45433888.888888888</v>
      </c>
      <c r="AO84" s="233">
        <f t="shared" si="33"/>
        <v>45433888.888888888</v>
      </c>
      <c r="AQ84" s="242">
        <f t="shared" ref="AQ84:AQ116" si="54">AD84+AH84+AM84</f>
        <v>367412222.22222227</v>
      </c>
      <c r="AR84" s="17">
        <f t="shared" si="50"/>
        <v>92793888.888888896</v>
      </c>
      <c r="AS84" s="233">
        <f t="shared" si="50"/>
        <v>92793888.888888896</v>
      </c>
      <c r="AU84" s="260">
        <f t="shared" si="45"/>
        <v>0.12454651600753297</v>
      </c>
      <c r="AW84" s="244">
        <f t="shared" ref="AW84:AW116" si="55">N84/(X84+N84)</f>
        <v>0.23200000000000001</v>
      </c>
      <c r="AY84" s="238">
        <f t="shared" si="41"/>
        <v>-337206111.1111111</v>
      </c>
      <c r="BA84" s="19">
        <f t="shared" si="34"/>
        <v>106000000</v>
      </c>
      <c r="BB84" s="19">
        <f t="shared" si="35"/>
        <v>68900000</v>
      </c>
      <c r="BC84" s="19">
        <f t="shared" ref="BC84:BC116" si="56">BA84*0.115</f>
        <v>12190000</v>
      </c>
      <c r="BD84" s="19">
        <f t="shared" ref="BD84:BD116" si="57">BA84*0.005</f>
        <v>530000</v>
      </c>
      <c r="BE84" s="19">
        <f t="shared" si="36"/>
        <v>24380000</v>
      </c>
    </row>
    <row r="85" spans="1:57">
      <c r="A85" s="81" t="s">
        <v>355</v>
      </c>
      <c r="B85" s="1">
        <v>2086</v>
      </c>
      <c r="C85" s="263">
        <v>4.0000000000000001E-3</v>
      </c>
      <c r="D85" s="264">
        <f t="shared" si="47"/>
        <v>793400000</v>
      </c>
      <c r="E85" s="344">
        <f t="shared" ref="E85:E116" si="58">D85*E$18</f>
        <v>1110760000</v>
      </c>
      <c r="F85" s="676">
        <f t="shared" si="37"/>
        <v>74000000</v>
      </c>
      <c r="G85" s="16">
        <f t="shared" si="38"/>
        <v>912409999.99999988</v>
      </c>
      <c r="H85" s="19">
        <f t="shared" si="42"/>
        <v>656935199.99999988</v>
      </c>
      <c r="I85" s="16">
        <f t="shared" ref="I85:I116" si="59">IF(E85&gt;D85*1.4,D85*0.25,E85-G85)</f>
        <v>198350000.00000012</v>
      </c>
      <c r="J85" s="19">
        <f t="shared" ref="J85:J116" si="60">I85*J$19</f>
        <v>114249600.00000006</v>
      </c>
      <c r="K85" s="16">
        <f t="shared" ref="K85:K116" si="61">IF(E85&gt;D85*1.4,E85-D85*1.4,0)</f>
        <v>0</v>
      </c>
      <c r="L85" s="25">
        <f t="shared" ref="L85:L116" si="62">K85*L$19</f>
        <v>0</v>
      </c>
      <c r="M85" s="229">
        <f t="shared" ref="M85:M116" si="63">ROUND(H85+J85+L85,-6)</f>
        <v>771000000</v>
      </c>
      <c r="N85" s="230">
        <f t="shared" ref="N85:N116" si="64">ROUND(E85*N$16,-6)</f>
        <v>233000000</v>
      </c>
      <c r="O85" s="231">
        <f t="shared" ref="O85:O116" si="65">M85-N85</f>
        <v>538000000</v>
      </c>
      <c r="P85" s="265">
        <f t="shared" ref="P85:P116" si="66">P84</f>
        <v>30000000</v>
      </c>
      <c r="Q85" s="233">
        <f t="shared" ref="Q85:Q116" si="67">O85-P85</f>
        <v>508000000</v>
      </c>
      <c r="R85" s="659">
        <f t="shared" ref="R85:R116" si="68">ROUND(Q85*0.85,-6)</f>
        <v>432000000</v>
      </c>
      <c r="S85" s="665">
        <f t="shared" si="40"/>
        <v>76000000</v>
      </c>
      <c r="T85" s="266">
        <f t="shared" ref="T85:T116" si="69">S85+P85</f>
        <v>106000000</v>
      </c>
      <c r="U85" s="124">
        <f t="shared" ref="U85:U116" si="70">O85/F85</f>
        <v>7.2702702702702702</v>
      </c>
      <c r="V85" s="124">
        <f t="shared" ref="V85:V116" si="71">M85/E85</f>
        <v>0.69411934171198097</v>
      </c>
      <c r="X85" s="379">
        <f t="shared" ref="X85:X116" si="72">M85</f>
        <v>771000000</v>
      </c>
      <c r="Z85" s="19">
        <v>5000000</v>
      </c>
      <c r="AA85" s="236">
        <f t="shared" si="43"/>
        <v>-220000000</v>
      </c>
      <c r="AB85" s="237">
        <f t="shared" ref="AB85:AB116" si="73">X85+Y85+Z85+AA85</f>
        <v>556000000</v>
      </c>
      <c r="AD85" s="238">
        <f t="shared" si="51"/>
        <v>236000000</v>
      </c>
      <c r="AE85" s="238">
        <f t="shared" ref="AE85:AE116" si="74">AB85-AD85</f>
        <v>320000000</v>
      </c>
      <c r="AF85" s="17"/>
      <c r="AG85" s="239">
        <f t="shared" si="52"/>
        <v>131555555.55555555</v>
      </c>
      <c r="AH85" s="262">
        <f t="shared" ref="AH85:AH116" si="75">IF($AG85&lt;AG$17,$AG85*0.28,AH$17)</f>
        <v>36835555.555555552</v>
      </c>
      <c r="AI85" s="240">
        <f t="shared" ref="AI85:AI116" si="76">IF($AG85&lt;AG$17,$AG85*0.36,AI$17)</f>
        <v>47360000</v>
      </c>
      <c r="AJ85" s="241">
        <f t="shared" ref="AJ85:AJ116" si="77">IF($AG85&lt;AG$17,$AG85*0.36,AJ$17)</f>
        <v>47360000</v>
      </c>
      <c r="AL85" s="239">
        <f t="shared" si="44"/>
        <v>188444444.44444445</v>
      </c>
      <c r="AM85" s="17">
        <f t="shared" si="53"/>
        <v>96106666.666666672</v>
      </c>
      <c r="AN85" s="17">
        <f t="shared" ref="AN85:AN116" si="78">AL85*0.245</f>
        <v>46168888.888888888</v>
      </c>
      <c r="AO85" s="233">
        <f t="shared" ref="AO85:AO116" si="79">AL85*0.245</f>
        <v>46168888.888888888</v>
      </c>
      <c r="AQ85" s="242">
        <f t="shared" si="54"/>
        <v>368942222.22222227</v>
      </c>
      <c r="AR85" s="17">
        <f t="shared" si="50"/>
        <v>93528888.888888896</v>
      </c>
      <c r="AS85" s="233">
        <f t="shared" si="50"/>
        <v>93528888.888888896</v>
      </c>
      <c r="AU85" s="260">
        <f t="shared" si="45"/>
        <v>0.12506516007532958</v>
      </c>
      <c r="AW85" s="244">
        <f t="shared" si="55"/>
        <v>0.23207171314741035</v>
      </c>
      <c r="AY85" s="238">
        <f t="shared" si="41"/>
        <v>-338471111.1111111</v>
      </c>
      <c r="BA85" s="19">
        <f t="shared" ref="BA85:BA116" si="80">T85</f>
        <v>106000000</v>
      </c>
      <c r="BB85" s="19">
        <f t="shared" ref="BB85:BB116" si="81">BA85*0.65</f>
        <v>68900000</v>
      </c>
      <c r="BC85" s="19">
        <f t="shared" si="56"/>
        <v>12190000</v>
      </c>
      <c r="BD85" s="19">
        <f t="shared" si="57"/>
        <v>530000</v>
      </c>
      <c r="BE85" s="19">
        <f t="shared" ref="BE85:BE116" si="82">BA85*0.23</f>
        <v>24380000</v>
      </c>
    </row>
    <row r="86" spans="1:57">
      <c r="A86" s="81" t="s">
        <v>356</v>
      </c>
      <c r="B86" s="1">
        <v>2087</v>
      </c>
      <c r="C86" s="263">
        <v>4.0000000000000001E-3</v>
      </c>
      <c r="D86" s="264">
        <f t="shared" si="47"/>
        <v>796600000</v>
      </c>
      <c r="E86" s="344">
        <f t="shared" si="58"/>
        <v>1115240000</v>
      </c>
      <c r="F86" s="676">
        <f t="shared" ref="F86:F115" si="83">ROUND(E86/15,-6)</f>
        <v>74000000</v>
      </c>
      <c r="G86" s="16">
        <f t="shared" ref="G86:G116" si="84">IF(E86&gt;D86*1.15,D86*1.15,E86)</f>
        <v>916089999.99999988</v>
      </c>
      <c r="H86" s="19">
        <f t="shared" si="42"/>
        <v>659584799.99999988</v>
      </c>
      <c r="I86" s="16">
        <f t="shared" si="59"/>
        <v>199150000.00000012</v>
      </c>
      <c r="J86" s="19">
        <f t="shared" si="60"/>
        <v>114710400.00000006</v>
      </c>
      <c r="K86" s="16">
        <f t="shared" si="61"/>
        <v>0</v>
      </c>
      <c r="L86" s="25">
        <f t="shared" si="62"/>
        <v>0</v>
      </c>
      <c r="M86" s="229">
        <f t="shared" si="63"/>
        <v>774000000</v>
      </c>
      <c r="N86" s="230">
        <f t="shared" si="64"/>
        <v>234000000</v>
      </c>
      <c r="O86" s="231">
        <f t="shared" si="65"/>
        <v>540000000</v>
      </c>
      <c r="P86" s="265">
        <f t="shared" si="66"/>
        <v>30000000</v>
      </c>
      <c r="Q86" s="233">
        <f t="shared" si="67"/>
        <v>510000000</v>
      </c>
      <c r="R86" s="659">
        <f t="shared" si="68"/>
        <v>434000000</v>
      </c>
      <c r="S86" s="665">
        <f t="shared" ref="S86:S116" si="85">ROUND(Q86*0.15,-6)</f>
        <v>77000000</v>
      </c>
      <c r="T86" s="266">
        <f t="shared" si="69"/>
        <v>107000000</v>
      </c>
      <c r="U86" s="124">
        <f t="shared" si="70"/>
        <v>7.2972972972972974</v>
      </c>
      <c r="V86" s="124">
        <f t="shared" si="71"/>
        <v>0.69402101789749293</v>
      </c>
      <c r="X86" s="379">
        <f t="shared" si="72"/>
        <v>774000000</v>
      </c>
      <c r="Z86" s="19">
        <v>5000000</v>
      </c>
      <c r="AA86" s="236">
        <f t="shared" si="43"/>
        <v>-220000000</v>
      </c>
      <c r="AB86" s="237">
        <f t="shared" si="73"/>
        <v>559000000</v>
      </c>
      <c r="AD86" s="238">
        <f t="shared" si="51"/>
        <v>236000000</v>
      </c>
      <c r="AE86" s="238">
        <f t="shared" si="74"/>
        <v>323000000</v>
      </c>
      <c r="AF86" s="17"/>
      <c r="AG86" s="239">
        <f t="shared" si="52"/>
        <v>131555555.55555555</v>
      </c>
      <c r="AH86" s="262">
        <f t="shared" si="75"/>
        <v>36835555.555555552</v>
      </c>
      <c r="AI86" s="240">
        <f t="shared" si="76"/>
        <v>47360000</v>
      </c>
      <c r="AJ86" s="241">
        <f t="shared" si="77"/>
        <v>47360000</v>
      </c>
      <c r="AL86" s="239">
        <f t="shared" si="44"/>
        <v>191444444.44444445</v>
      </c>
      <c r="AM86" s="17">
        <f t="shared" si="53"/>
        <v>97636666.666666672</v>
      </c>
      <c r="AN86" s="17">
        <f t="shared" si="78"/>
        <v>46903888.888888888</v>
      </c>
      <c r="AO86" s="233">
        <f t="shared" si="79"/>
        <v>46903888.888888888</v>
      </c>
      <c r="AQ86" s="242">
        <f t="shared" si="54"/>
        <v>370472222.22222227</v>
      </c>
      <c r="AR86" s="17">
        <f t="shared" si="50"/>
        <v>94263888.888888896</v>
      </c>
      <c r="AS86" s="233">
        <f t="shared" si="50"/>
        <v>94263888.888888896</v>
      </c>
      <c r="AU86" s="260">
        <f t="shared" si="45"/>
        <v>0.1255838041431262</v>
      </c>
      <c r="AW86" s="244">
        <f t="shared" si="55"/>
        <v>0.23214285714285715</v>
      </c>
      <c r="AY86" s="238">
        <f t="shared" ref="AY86:AY116" si="86">AR86-R86</f>
        <v>-339736111.1111111</v>
      </c>
      <c r="BA86" s="19">
        <f t="shared" si="80"/>
        <v>107000000</v>
      </c>
      <c r="BB86" s="19">
        <f t="shared" si="81"/>
        <v>69550000</v>
      </c>
      <c r="BC86" s="19">
        <f t="shared" si="56"/>
        <v>12305000</v>
      </c>
      <c r="BD86" s="19">
        <f t="shared" si="57"/>
        <v>535000</v>
      </c>
      <c r="BE86" s="19">
        <f t="shared" si="82"/>
        <v>24610000</v>
      </c>
    </row>
    <row r="87" spans="1:57">
      <c r="A87" s="81" t="s">
        <v>357</v>
      </c>
      <c r="B87" s="1">
        <v>2088</v>
      </c>
      <c r="C87" s="263">
        <v>4.0000000000000001E-3</v>
      </c>
      <c r="D87" s="264">
        <f t="shared" si="47"/>
        <v>799800000</v>
      </c>
      <c r="E87" s="344">
        <f t="shared" si="58"/>
        <v>1119720000</v>
      </c>
      <c r="F87" s="676">
        <f t="shared" si="83"/>
        <v>75000000</v>
      </c>
      <c r="G87" s="16">
        <f t="shared" si="84"/>
        <v>919769999.99999988</v>
      </c>
      <c r="H87" s="19">
        <f t="shared" ref="H87:H116" si="87">G87*H$19</f>
        <v>662234399.99999988</v>
      </c>
      <c r="I87" s="16">
        <f t="shared" si="59"/>
        <v>199950000.00000012</v>
      </c>
      <c r="J87" s="19">
        <f t="shared" si="60"/>
        <v>115171200.00000006</v>
      </c>
      <c r="K87" s="16">
        <f t="shared" si="61"/>
        <v>0</v>
      </c>
      <c r="L87" s="25">
        <f t="shared" si="62"/>
        <v>0</v>
      </c>
      <c r="M87" s="229">
        <f t="shared" si="63"/>
        <v>777000000</v>
      </c>
      <c r="N87" s="230">
        <f t="shared" si="64"/>
        <v>235000000</v>
      </c>
      <c r="O87" s="231">
        <f t="shared" si="65"/>
        <v>542000000</v>
      </c>
      <c r="P87" s="265">
        <f t="shared" si="66"/>
        <v>30000000</v>
      </c>
      <c r="Q87" s="233">
        <f t="shared" si="67"/>
        <v>512000000</v>
      </c>
      <c r="R87" s="659">
        <f t="shared" si="68"/>
        <v>435000000</v>
      </c>
      <c r="S87" s="665">
        <f t="shared" si="85"/>
        <v>77000000</v>
      </c>
      <c r="T87" s="266">
        <f t="shared" si="69"/>
        <v>107000000</v>
      </c>
      <c r="U87" s="124">
        <f t="shared" si="70"/>
        <v>7.2266666666666666</v>
      </c>
      <c r="V87" s="124">
        <f t="shared" si="71"/>
        <v>0.6939234808702176</v>
      </c>
      <c r="X87" s="379">
        <f t="shared" si="72"/>
        <v>777000000</v>
      </c>
      <c r="Z87" s="19">
        <v>5000000</v>
      </c>
      <c r="AA87" s="236">
        <f t="shared" si="43"/>
        <v>-220000000</v>
      </c>
      <c r="AB87" s="237">
        <f t="shared" si="73"/>
        <v>562000000</v>
      </c>
      <c r="AD87" s="238">
        <f t="shared" si="51"/>
        <v>236000000</v>
      </c>
      <c r="AE87" s="238">
        <f t="shared" si="74"/>
        <v>326000000</v>
      </c>
      <c r="AF87" s="17"/>
      <c r="AG87" s="239">
        <f t="shared" si="52"/>
        <v>131555555.55555555</v>
      </c>
      <c r="AH87" s="262">
        <f t="shared" si="75"/>
        <v>36835555.555555552</v>
      </c>
      <c r="AI87" s="240">
        <f t="shared" si="76"/>
        <v>47360000</v>
      </c>
      <c r="AJ87" s="241">
        <f t="shared" si="77"/>
        <v>47360000</v>
      </c>
      <c r="AL87" s="239">
        <f t="shared" si="44"/>
        <v>194444444.44444445</v>
      </c>
      <c r="AM87" s="17">
        <f t="shared" si="53"/>
        <v>99166666.666666672</v>
      </c>
      <c r="AN87" s="17">
        <f t="shared" si="78"/>
        <v>47638888.888888888</v>
      </c>
      <c r="AO87" s="233">
        <f t="shared" si="79"/>
        <v>47638888.888888888</v>
      </c>
      <c r="AQ87" s="242">
        <f t="shared" si="54"/>
        <v>372002222.22222227</v>
      </c>
      <c r="AR87" s="17">
        <f t="shared" si="50"/>
        <v>94998888.888888896</v>
      </c>
      <c r="AS87" s="233">
        <f t="shared" si="50"/>
        <v>94998888.888888896</v>
      </c>
      <c r="AU87" s="260">
        <f t="shared" si="45"/>
        <v>0.12610244821092281</v>
      </c>
      <c r="AW87" s="244">
        <f t="shared" si="55"/>
        <v>0.23221343873517786</v>
      </c>
      <c r="AY87" s="238">
        <f t="shared" si="86"/>
        <v>-340001111.1111111</v>
      </c>
      <c r="BA87" s="19">
        <f t="shared" si="80"/>
        <v>107000000</v>
      </c>
      <c r="BB87" s="19">
        <f t="shared" si="81"/>
        <v>69550000</v>
      </c>
      <c r="BC87" s="19">
        <f t="shared" si="56"/>
        <v>12305000</v>
      </c>
      <c r="BD87" s="19">
        <f t="shared" si="57"/>
        <v>535000</v>
      </c>
      <c r="BE87" s="19">
        <f t="shared" si="82"/>
        <v>24610000</v>
      </c>
    </row>
    <row r="88" spans="1:57">
      <c r="A88" s="81" t="s">
        <v>358</v>
      </c>
      <c r="B88" s="1">
        <v>2089</v>
      </c>
      <c r="C88" s="263">
        <v>4.0000000000000001E-3</v>
      </c>
      <c r="D88" s="264">
        <f t="shared" si="47"/>
        <v>803000000</v>
      </c>
      <c r="E88" s="344">
        <f t="shared" si="58"/>
        <v>1124200000</v>
      </c>
      <c r="F88" s="676">
        <f t="shared" si="83"/>
        <v>75000000</v>
      </c>
      <c r="G88" s="16">
        <f t="shared" si="84"/>
        <v>923449999.99999988</v>
      </c>
      <c r="H88" s="19">
        <f t="shared" si="87"/>
        <v>664883999.99999988</v>
      </c>
      <c r="I88" s="16">
        <f t="shared" si="59"/>
        <v>200750000.00000012</v>
      </c>
      <c r="J88" s="19">
        <f t="shared" si="60"/>
        <v>115632000.00000006</v>
      </c>
      <c r="K88" s="16">
        <f t="shared" si="61"/>
        <v>0</v>
      </c>
      <c r="L88" s="25">
        <f t="shared" si="62"/>
        <v>0</v>
      </c>
      <c r="M88" s="229">
        <f t="shared" si="63"/>
        <v>781000000</v>
      </c>
      <c r="N88" s="230">
        <f t="shared" si="64"/>
        <v>236000000</v>
      </c>
      <c r="O88" s="231">
        <f t="shared" si="65"/>
        <v>545000000</v>
      </c>
      <c r="P88" s="265">
        <f t="shared" si="66"/>
        <v>30000000</v>
      </c>
      <c r="Q88" s="233">
        <f t="shared" si="67"/>
        <v>515000000</v>
      </c>
      <c r="R88" s="659">
        <f t="shared" si="68"/>
        <v>438000000</v>
      </c>
      <c r="S88" s="665">
        <f t="shared" si="85"/>
        <v>77000000</v>
      </c>
      <c r="T88" s="266">
        <f t="shared" si="69"/>
        <v>107000000</v>
      </c>
      <c r="U88" s="124">
        <f t="shared" si="70"/>
        <v>7.2666666666666666</v>
      </c>
      <c r="V88" s="124">
        <f t="shared" si="71"/>
        <v>0.69471624266144816</v>
      </c>
      <c r="X88" s="379">
        <f t="shared" si="72"/>
        <v>781000000</v>
      </c>
      <c r="Z88" s="19">
        <v>5000000</v>
      </c>
      <c r="AA88" s="236">
        <f t="shared" si="43"/>
        <v>-220000000</v>
      </c>
      <c r="AB88" s="237">
        <f t="shared" si="73"/>
        <v>566000000</v>
      </c>
      <c r="AD88" s="238">
        <f t="shared" si="51"/>
        <v>236000000</v>
      </c>
      <c r="AE88" s="238">
        <f t="shared" si="74"/>
        <v>330000000</v>
      </c>
      <c r="AF88" s="17"/>
      <c r="AG88" s="239">
        <f t="shared" si="52"/>
        <v>131555555.55555555</v>
      </c>
      <c r="AH88" s="262">
        <f t="shared" si="75"/>
        <v>36835555.555555552</v>
      </c>
      <c r="AI88" s="240">
        <f t="shared" si="76"/>
        <v>47360000</v>
      </c>
      <c r="AJ88" s="241">
        <f t="shared" si="77"/>
        <v>47360000</v>
      </c>
      <c r="AL88" s="239">
        <f t="shared" si="44"/>
        <v>198444444.44444445</v>
      </c>
      <c r="AM88" s="17">
        <f t="shared" si="53"/>
        <v>101206666.66666667</v>
      </c>
      <c r="AN88" s="17">
        <f t="shared" si="78"/>
        <v>48618888.888888888</v>
      </c>
      <c r="AO88" s="233">
        <f t="shared" si="79"/>
        <v>48618888.888888888</v>
      </c>
      <c r="AQ88" s="242">
        <f t="shared" si="54"/>
        <v>374042222.22222227</v>
      </c>
      <c r="AR88" s="17">
        <f t="shared" si="50"/>
        <v>95978888.888888896</v>
      </c>
      <c r="AS88" s="233">
        <f t="shared" si="50"/>
        <v>95978888.888888896</v>
      </c>
      <c r="AU88" s="260">
        <f t="shared" si="45"/>
        <v>0.12679397363465161</v>
      </c>
      <c r="AW88" s="244">
        <f t="shared" si="55"/>
        <v>0.232055063913471</v>
      </c>
      <c r="AY88" s="238">
        <f t="shared" si="86"/>
        <v>-342021111.1111111</v>
      </c>
      <c r="BA88" s="19">
        <f t="shared" si="80"/>
        <v>107000000</v>
      </c>
      <c r="BB88" s="19">
        <f t="shared" si="81"/>
        <v>69550000</v>
      </c>
      <c r="BC88" s="19">
        <f t="shared" si="56"/>
        <v>12305000</v>
      </c>
      <c r="BD88" s="19">
        <f t="shared" si="57"/>
        <v>535000</v>
      </c>
      <c r="BE88" s="19">
        <f t="shared" si="82"/>
        <v>24610000</v>
      </c>
    </row>
    <row r="89" spans="1:57">
      <c r="A89" s="81" t="s">
        <v>391</v>
      </c>
      <c r="B89" s="1">
        <v>2090</v>
      </c>
      <c r="C89" s="263">
        <v>4.0000000000000001E-3</v>
      </c>
      <c r="D89" s="264">
        <f t="shared" si="47"/>
        <v>806200000</v>
      </c>
      <c r="E89" s="344">
        <f t="shared" si="58"/>
        <v>1128680000</v>
      </c>
      <c r="F89" s="676">
        <f t="shared" si="83"/>
        <v>75000000</v>
      </c>
      <c r="G89" s="16">
        <f t="shared" si="84"/>
        <v>927129999.99999988</v>
      </c>
      <c r="H89" s="19">
        <f t="shared" si="87"/>
        <v>667533599.99999988</v>
      </c>
      <c r="I89" s="16">
        <f t="shared" si="59"/>
        <v>201550000.00000012</v>
      </c>
      <c r="J89" s="19">
        <f t="shared" si="60"/>
        <v>116092800.00000006</v>
      </c>
      <c r="K89" s="16">
        <f t="shared" si="61"/>
        <v>0</v>
      </c>
      <c r="L89" s="25">
        <f t="shared" si="62"/>
        <v>0</v>
      </c>
      <c r="M89" s="229">
        <f t="shared" si="63"/>
        <v>784000000</v>
      </c>
      <c r="N89" s="230">
        <f t="shared" si="64"/>
        <v>237000000</v>
      </c>
      <c r="O89" s="231">
        <f t="shared" si="65"/>
        <v>547000000</v>
      </c>
      <c r="P89" s="265">
        <f t="shared" si="66"/>
        <v>30000000</v>
      </c>
      <c r="Q89" s="233">
        <f t="shared" si="67"/>
        <v>517000000</v>
      </c>
      <c r="R89" s="659">
        <f t="shared" si="68"/>
        <v>439000000</v>
      </c>
      <c r="S89" s="665">
        <f t="shared" si="85"/>
        <v>78000000</v>
      </c>
      <c r="T89" s="266">
        <f t="shared" si="69"/>
        <v>108000000</v>
      </c>
      <c r="U89" s="124">
        <f t="shared" si="70"/>
        <v>7.293333333333333</v>
      </c>
      <c r="V89" s="124">
        <f t="shared" si="71"/>
        <v>0.69461672041677003</v>
      </c>
      <c r="X89" s="379">
        <f t="shared" si="72"/>
        <v>784000000</v>
      </c>
      <c r="Z89" s="19">
        <v>5000000</v>
      </c>
      <c r="AA89" s="236">
        <f t="shared" ref="AA89:AA115" si="88">AA88</f>
        <v>-220000000</v>
      </c>
      <c r="AB89" s="237">
        <f t="shared" si="73"/>
        <v>569000000</v>
      </c>
      <c r="AD89" s="238">
        <f t="shared" si="51"/>
        <v>236000000</v>
      </c>
      <c r="AE89" s="238">
        <f t="shared" si="74"/>
        <v>333000000</v>
      </c>
      <c r="AF89" s="17"/>
      <c r="AG89" s="239">
        <f t="shared" si="52"/>
        <v>131555555.55555555</v>
      </c>
      <c r="AH89" s="262">
        <f t="shared" si="75"/>
        <v>36835555.555555552</v>
      </c>
      <c r="AI89" s="240">
        <f t="shared" si="76"/>
        <v>47360000</v>
      </c>
      <c r="AJ89" s="241">
        <f t="shared" si="77"/>
        <v>47360000</v>
      </c>
      <c r="AL89" s="239">
        <f t="shared" ref="AL89:AL116" si="89">AB89-AD89-AG89</f>
        <v>201444444.44444445</v>
      </c>
      <c r="AM89" s="17">
        <f t="shared" si="53"/>
        <v>102736666.66666667</v>
      </c>
      <c r="AN89" s="17">
        <f t="shared" si="78"/>
        <v>49353888.888888888</v>
      </c>
      <c r="AO89" s="233">
        <f t="shared" si="79"/>
        <v>49353888.888888888</v>
      </c>
      <c r="AQ89" s="242">
        <f t="shared" si="54"/>
        <v>375572222.22222227</v>
      </c>
      <c r="AR89" s="17">
        <f t="shared" si="50"/>
        <v>96713888.888888896</v>
      </c>
      <c r="AS89" s="233">
        <f t="shared" si="50"/>
        <v>96713888.888888896</v>
      </c>
      <c r="AU89" s="260">
        <f t="shared" ref="AU89:AU116" si="90">AQ89/AH$9</f>
        <v>0.12731261770244823</v>
      </c>
      <c r="AW89" s="244">
        <f t="shared" si="55"/>
        <v>0.23212536728697356</v>
      </c>
      <c r="AY89" s="238">
        <f t="shared" si="86"/>
        <v>-342286111.1111111</v>
      </c>
      <c r="BA89" s="19">
        <f t="shared" si="80"/>
        <v>108000000</v>
      </c>
      <c r="BB89" s="19">
        <f t="shared" si="81"/>
        <v>70200000</v>
      </c>
      <c r="BC89" s="19">
        <f t="shared" si="56"/>
        <v>12420000</v>
      </c>
      <c r="BD89" s="19">
        <f t="shared" si="57"/>
        <v>540000</v>
      </c>
      <c r="BE89" s="19">
        <f t="shared" si="82"/>
        <v>24840000</v>
      </c>
    </row>
    <row r="90" spans="1:57">
      <c r="A90" s="81" t="s">
        <v>392</v>
      </c>
      <c r="B90" s="1">
        <v>2091</v>
      </c>
      <c r="C90" s="263">
        <v>4.0000000000000001E-3</v>
      </c>
      <c r="D90" s="264">
        <f t="shared" si="47"/>
        <v>809400000</v>
      </c>
      <c r="E90" s="344">
        <f t="shared" si="58"/>
        <v>1133160000</v>
      </c>
      <c r="F90" s="676">
        <f t="shared" si="83"/>
        <v>76000000</v>
      </c>
      <c r="G90" s="16">
        <f t="shared" si="84"/>
        <v>930809999.99999988</v>
      </c>
      <c r="H90" s="19">
        <f t="shared" si="87"/>
        <v>670183199.99999988</v>
      </c>
      <c r="I90" s="16">
        <f t="shared" si="59"/>
        <v>202350000.00000012</v>
      </c>
      <c r="J90" s="19">
        <f t="shared" si="60"/>
        <v>116553600.00000006</v>
      </c>
      <c r="K90" s="16">
        <f t="shared" si="61"/>
        <v>0</v>
      </c>
      <c r="L90" s="25">
        <f t="shared" si="62"/>
        <v>0</v>
      </c>
      <c r="M90" s="229">
        <f t="shared" si="63"/>
        <v>787000000</v>
      </c>
      <c r="N90" s="230">
        <f t="shared" si="64"/>
        <v>238000000</v>
      </c>
      <c r="O90" s="231">
        <f t="shared" si="65"/>
        <v>549000000</v>
      </c>
      <c r="P90" s="265">
        <f t="shared" si="66"/>
        <v>30000000</v>
      </c>
      <c r="Q90" s="233">
        <f t="shared" si="67"/>
        <v>519000000</v>
      </c>
      <c r="R90" s="659">
        <f t="shared" si="68"/>
        <v>441000000</v>
      </c>
      <c r="S90" s="665">
        <f t="shared" si="85"/>
        <v>78000000</v>
      </c>
      <c r="T90" s="266">
        <f t="shared" si="69"/>
        <v>108000000</v>
      </c>
      <c r="U90" s="124">
        <f t="shared" si="70"/>
        <v>7.2236842105263159</v>
      </c>
      <c r="V90" s="124">
        <f t="shared" si="71"/>
        <v>0.69451798510360407</v>
      </c>
      <c r="X90" s="379">
        <f t="shared" si="72"/>
        <v>787000000</v>
      </c>
      <c r="Z90" s="19">
        <v>5000000</v>
      </c>
      <c r="AA90" s="236">
        <f t="shared" si="88"/>
        <v>-220000000</v>
      </c>
      <c r="AB90" s="237">
        <f t="shared" si="73"/>
        <v>572000000</v>
      </c>
      <c r="AD90" s="238">
        <f t="shared" si="51"/>
        <v>236000000</v>
      </c>
      <c r="AE90" s="238">
        <f t="shared" si="74"/>
        <v>336000000</v>
      </c>
      <c r="AF90" s="17"/>
      <c r="AG90" s="239">
        <f t="shared" si="52"/>
        <v>131555555.55555555</v>
      </c>
      <c r="AH90" s="262">
        <f t="shared" si="75"/>
        <v>36835555.555555552</v>
      </c>
      <c r="AI90" s="240">
        <f t="shared" si="76"/>
        <v>47360000</v>
      </c>
      <c r="AJ90" s="241">
        <f t="shared" si="77"/>
        <v>47360000</v>
      </c>
      <c r="AL90" s="239">
        <f t="shared" si="89"/>
        <v>204444444.44444445</v>
      </c>
      <c r="AM90" s="17">
        <f t="shared" si="53"/>
        <v>104266666.66666667</v>
      </c>
      <c r="AN90" s="17">
        <f t="shared" si="78"/>
        <v>50088888.888888888</v>
      </c>
      <c r="AO90" s="233">
        <f t="shared" si="79"/>
        <v>50088888.888888888</v>
      </c>
      <c r="AQ90" s="242">
        <f t="shared" si="54"/>
        <v>377102222.22222227</v>
      </c>
      <c r="AR90" s="17">
        <f t="shared" si="50"/>
        <v>97448888.888888896</v>
      </c>
      <c r="AS90" s="233">
        <f t="shared" si="50"/>
        <v>97448888.888888896</v>
      </c>
      <c r="AU90" s="260">
        <f t="shared" si="90"/>
        <v>0.12783126177024484</v>
      </c>
      <c r="AW90" s="244">
        <f t="shared" si="55"/>
        <v>0.23219512195121952</v>
      </c>
      <c r="AY90" s="238">
        <f t="shared" si="86"/>
        <v>-343551111.1111111</v>
      </c>
      <c r="BA90" s="19">
        <f t="shared" si="80"/>
        <v>108000000</v>
      </c>
      <c r="BB90" s="19">
        <f t="shared" si="81"/>
        <v>70200000</v>
      </c>
      <c r="BC90" s="19">
        <f t="shared" si="56"/>
        <v>12420000</v>
      </c>
      <c r="BD90" s="19">
        <f t="shared" si="57"/>
        <v>540000</v>
      </c>
      <c r="BE90" s="19">
        <f t="shared" si="82"/>
        <v>24840000</v>
      </c>
    </row>
    <row r="91" spans="1:57">
      <c r="A91" s="81" t="s">
        <v>359</v>
      </c>
      <c r="B91" s="1">
        <v>2092</v>
      </c>
      <c r="C91" s="263">
        <v>4.0000000000000001E-3</v>
      </c>
      <c r="D91" s="264">
        <f t="shared" si="47"/>
        <v>812600000</v>
      </c>
      <c r="E91" s="344">
        <f t="shared" si="58"/>
        <v>1137640000</v>
      </c>
      <c r="F91" s="676">
        <f t="shared" si="83"/>
        <v>76000000</v>
      </c>
      <c r="G91" s="16">
        <f t="shared" si="84"/>
        <v>934489999.99999988</v>
      </c>
      <c r="H91" s="19">
        <f t="shared" si="87"/>
        <v>672832799.99999988</v>
      </c>
      <c r="I91" s="16">
        <f t="shared" si="59"/>
        <v>203150000.00000012</v>
      </c>
      <c r="J91" s="19">
        <f t="shared" si="60"/>
        <v>117014400.00000006</v>
      </c>
      <c r="K91" s="16">
        <f t="shared" si="61"/>
        <v>0</v>
      </c>
      <c r="L91" s="25">
        <f t="shared" si="62"/>
        <v>0</v>
      </c>
      <c r="M91" s="229">
        <f t="shared" si="63"/>
        <v>790000000</v>
      </c>
      <c r="N91" s="230">
        <f t="shared" si="64"/>
        <v>239000000</v>
      </c>
      <c r="O91" s="231">
        <f t="shared" si="65"/>
        <v>551000000</v>
      </c>
      <c r="P91" s="265">
        <f t="shared" si="66"/>
        <v>30000000</v>
      </c>
      <c r="Q91" s="233">
        <f t="shared" si="67"/>
        <v>521000000</v>
      </c>
      <c r="R91" s="659">
        <f t="shared" si="68"/>
        <v>443000000</v>
      </c>
      <c r="S91" s="665">
        <f t="shared" si="85"/>
        <v>78000000</v>
      </c>
      <c r="T91" s="266">
        <f t="shared" si="69"/>
        <v>108000000</v>
      </c>
      <c r="U91" s="124">
        <f t="shared" si="70"/>
        <v>7.25</v>
      </c>
      <c r="V91" s="124">
        <f t="shared" si="71"/>
        <v>0.69442002742519604</v>
      </c>
      <c r="X91" s="379">
        <f t="shared" si="72"/>
        <v>790000000</v>
      </c>
      <c r="Z91" s="19">
        <v>5000000</v>
      </c>
      <c r="AA91" s="236">
        <f t="shared" si="88"/>
        <v>-220000000</v>
      </c>
      <c r="AB91" s="237">
        <f t="shared" si="73"/>
        <v>575000000</v>
      </c>
      <c r="AD91" s="238">
        <f t="shared" si="51"/>
        <v>236000000</v>
      </c>
      <c r="AE91" s="238">
        <f t="shared" si="74"/>
        <v>339000000</v>
      </c>
      <c r="AF91" s="17"/>
      <c r="AG91" s="239">
        <f t="shared" si="52"/>
        <v>131555555.55555555</v>
      </c>
      <c r="AH91" s="262">
        <f t="shared" si="75"/>
        <v>36835555.555555552</v>
      </c>
      <c r="AI91" s="240">
        <f t="shared" si="76"/>
        <v>47360000</v>
      </c>
      <c r="AJ91" s="241">
        <f t="shared" si="77"/>
        <v>47360000</v>
      </c>
      <c r="AL91" s="239">
        <f t="shared" si="89"/>
        <v>207444444.44444445</v>
      </c>
      <c r="AM91" s="17">
        <f t="shared" si="53"/>
        <v>105796666.66666667</v>
      </c>
      <c r="AN91" s="17">
        <f t="shared" si="78"/>
        <v>50823888.888888888</v>
      </c>
      <c r="AO91" s="233">
        <f t="shared" si="79"/>
        <v>50823888.888888888</v>
      </c>
      <c r="AQ91" s="242">
        <f t="shared" si="54"/>
        <v>378632222.22222227</v>
      </c>
      <c r="AR91" s="17">
        <f t="shared" si="50"/>
        <v>98183888.888888896</v>
      </c>
      <c r="AS91" s="233">
        <f t="shared" si="50"/>
        <v>98183888.888888896</v>
      </c>
      <c r="AU91" s="260">
        <f t="shared" si="90"/>
        <v>0.12834990583804146</v>
      </c>
      <c r="AW91" s="244">
        <f t="shared" si="55"/>
        <v>0.23226433430515064</v>
      </c>
      <c r="AY91" s="238">
        <f t="shared" si="86"/>
        <v>-344816111.1111111</v>
      </c>
      <c r="BA91" s="19">
        <f t="shared" si="80"/>
        <v>108000000</v>
      </c>
      <c r="BB91" s="19">
        <f t="shared" si="81"/>
        <v>70200000</v>
      </c>
      <c r="BC91" s="19">
        <f t="shared" si="56"/>
        <v>12420000</v>
      </c>
      <c r="BD91" s="19">
        <f t="shared" si="57"/>
        <v>540000</v>
      </c>
      <c r="BE91" s="19">
        <f t="shared" si="82"/>
        <v>24840000</v>
      </c>
    </row>
    <row r="92" spans="1:57">
      <c r="A92" s="81" t="s">
        <v>360</v>
      </c>
      <c r="B92" s="1">
        <v>2093</v>
      </c>
      <c r="C92" s="263">
        <v>4.0000000000000001E-3</v>
      </c>
      <c r="D92" s="264">
        <f t="shared" si="47"/>
        <v>815900000</v>
      </c>
      <c r="E92" s="344">
        <f t="shared" si="58"/>
        <v>1142260000</v>
      </c>
      <c r="F92" s="676">
        <f t="shared" si="83"/>
        <v>76000000</v>
      </c>
      <c r="G92" s="16">
        <f t="shared" si="84"/>
        <v>938284999.99999988</v>
      </c>
      <c r="H92" s="19">
        <f t="shared" si="87"/>
        <v>675565199.99999988</v>
      </c>
      <c r="I92" s="16">
        <f t="shared" si="59"/>
        <v>203975000.00000012</v>
      </c>
      <c r="J92" s="19">
        <f t="shared" si="60"/>
        <v>117489600.00000006</v>
      </c>
      <c r="K92" s="16">
        <f t="shared" si="61"/>
        <v>0</v>
      </c>
      <c r="L92" s="25">
        <f t="shared" si="62"/>
        <v>0</v>
      </c>
      <c r="M92" s="229">
        <f t="shared" si="63"/>
        <v>793000000</v>
      </c>
      <c r="N92" s="230">
        <f t="shared" si="64"/>
        <v>240000000</v>
      </c>
      <c r="O92" s="231">
        <f t="shared" si="65"/>
        <v>553000000</v>
      </c>
      <c r="P92" s="265">
        <f t="shared" si="66"/>
        <v>30000000</v>
      </c>
      <c r="Q92" s="233">
        <f t="shared" si="67"/>
        <v>523000000</v>
      </c>
      <c r="R92" s="659">
        <f t="shared" si="68"/>
        <v>445000000</v>
      </c>
      <c r="S92" s="665">
        <f t="shared" si="85"/>
        <v>78000000</v>
      </c>
      <c r="T92" s="266">
        <f t="shared" si="69"/>
        <v>108000000</v>
      </c>
      <c r="U92" s="124">
        <f t="shared" si="70"/>
        <v>7.2763157894736841</v>
      </c>
      <c r="V92" s="124">
        <f t="shared" si="71"/>
        <v>0.69423773921874177</v>
      </c>
      <c r="X92" s="379">
        <f t="shared" si="72"/>
        <v>793000000</v>
      </c>
      <c r="Z92" s="19">
        <v>5000000</v>
      </c>
      <c r="AA92" s="236">
        <f t="shared" si="88"/>
        <v>-220000000</v>
      </c>
      <c r="AB92" s="237">
        <f t="shared" si="73"/>
        <v>578000000</v>
      </c>
      <c r="AD92" s="238">
        <f t="shared" si="51"/>
        <v>236000000</v>
      </c>
      <c r="AE92" s="238">
        <f t="shared" si="74"/>
        <v>342000000</v>
      </c>
      <c r="AF92" s="17"/>
      <c r="AG92" s="239">
        <f t="shared" si="52"/>
        <v>131555555.55555555</v>
      </c>
      <c r="AH92" s="262">
        <f t="shared" si="75"/>
        <v>36835555.555555552</v>
      </c>
      <c r="AI92" s="240">
        <f t="shared" si="76"/>
        <v>47360000</v>
      </c>
      <c r="AJ92" s="241">
        <f t="shared" si="77"/>
        <v>47360000</v>
      </c>
      <c r="AL92" s="239">
        <f t="shared" si="89"/>
        <v>210444444.44444445</v>
      </c>
      <c r="AM92" s="17">
        <f t="shared" si="53"/>
        <v>107326666.66666667</v>
      </c>
      <c r="AN92" s="17">
        <f t="shared" si="78"/>
        <v>51558888.888888888</v>
      </c>
      <c r="AO92" s="233">
        <f t="shared" si="79"/>
        <v>51558888.888888888</v>
      </c>
      <c r="AQ92" s="242">
        <f t="shared" si="54"/>
        <v>380162222.22222227</v>
      </c>
      <c r="AR92" s="17">
        <f t="shared" si="50"/>
        <v>98918888.888888896</v>
      </c>
      <c r="AS92" s="233">
        <f t="shared" si="50"/>
        <v>98918888.888888896</v>
      </c>
      <c r="AU92" s="260">
        <f t="shared" si="90"/>
        <v>0.12886854990583807</v>
      </c>
      <c r="AW92" s="244">
        <f t="shared" si="55"/>
        <v>0.23233301064859632</v>
      </c>
      <c r="AY92" s="238">
        <f t="shared" si="86"/>
        <v>-346081111.1111111</v>
      </c>
      <c r="BA92" s="19">
        <f t="shared" si="80"/>
        <v>108000000</v>
      </c>
      <c r="BB92" s="19">
        <f t="shared" si="81"/>
        <v>70200000</v>
      </c>
      <c r="BC92" s="19">
        <f t="shared" si="56"/>
        <v>12420000</v>
      </c>
      <c r="BD92" s="19">
        <f t="shared" si="57"/>
        <v>540000</v>
      </c>
      <c r="BE92" s="19">
        <f t="shared" si="82"/>
        <v>24840000</v>
      </c>
    </row>
    <row r="93" spans="1:57">
      <c r="A93" s="81" t="s">
        <v>361</v>
      </c>
      <c r="B93" s="1">
        <v>2094</v>
      </c>
      <c r="C93" s="263">
        <v>4.0000000000000001E-3</v>
      </c>
      <c r="D93" s="264">
        <f t="shared" si="47"/>
        <v>819200000</v>
      </c>
      <c r="E93" s="344">
        <f t="shared" si="58"/>
        <v>1146880000</v>
      </c>
      <c r="F93" s="676">
        <f t="shared" si="83"/>
        <v>76000000</v>
      </c>
      <c r="G93" s="16">
        <f t="shared" si="84"/>
        <v>942079999.99999988</v>
      </c>
      <c r="H93" s="19">
        <f t="shared" si="87"/>
        <v>678297599.99999988</v>
      </c>
      <c r="I93" s="16">
        <f t="shared" si="59"/>
        <v>204800000.00000012</v>
      </c>
      <c r="J93" s="19">
        <f t="shared" si="60"/>
        <v>117964800.00000006</v>
      </c>
      <c r="K93" s="16">
        <f t="shared" si="61"/>
        <v>0</v>
      </c>
      <c r="L93" s="25">
        <f t="shared" si="62"/>
        <v>0</v>
      </c>
      <c r="M93" s="229">
        <f t="shared" si="63"/>
        <v>796000000</v>
      </c>
      <c r="N93" s="230">
        <f t="shared" si="64"/>
        <v>241000000</v>
      </c>
      <c r="O93" s="231">
        <f t="shared" si="65"/>
        <v>555000000</v>
      </c>
      <c r="P93" s="265">
        <f t="shared" si="66"/>
        <v>30000000</v>
      </c>
      <c r="Q93" s="233">
        <f t="shared" si="67"/>
        <v>525000000</v>
      </c>
      <c r="R93" s="659">
        <f t="shared" si="68"/>
        <v>446000000</v>
      </c>
      <c r="S93" s="665">
        <f t="shared" si="85"/>
        <v>79000000</v>
      </c>
      <c r="T93" s="266">
        <f t="shared" si="69"/>
        <v>109000000</v>
      </c>
      <c r="U93" s="124">
        <f t="shared" si="70"/>
        <v>7.3026315789473681</v>
      </c>
      <c r="V93" s="124">
        <f t="shared" si="71"/>
        <v>0.6940569196428571</v>
      </c>
      <c r="X93" s="379">
        <f t="shared" si="72"/>
        <v>796000000</v>
      </c>
      <c r="Z93" s="19">
        <v>5000000</v>
      </c>
      <c r="AA93" s="236">
        <f t="shared" si="88"/>
        <v>-220000000</v>
      </c>
      <c r="AB93" s="237">
        <f t="shared" si="73"/>
        <v>581000000</v>
      </c>
      <c r="AD93" s="238">
        <f t="shared" si="51"/>
        <v>236000000</v>
      </c>
      <c r="AE93" s="238">
        <f t="shared" si="74"/>
        <v>345000000</v>
      </c>
      <c r="AF93" s="17"/>
      <c r="AG93" s="239">
        <f t="shared" si="52"/>
        <v>131555555.55555555</v>
      </c>
      <c r="AH93" s="262">
        <f t="shared" si="75"/>
        <v>36835555.555555552</v>
      </c>
      <c r="AI93" s="240">
        <f t="shared" si="76"/>
        <v>47360000</v>
      </c>
      <c r="AJ93" s="241">
        <f t="shared" si="77"/>
        <v>47360000</v>
      </c>
      <c r="AL93" s="239">
        <f t="shared" si="89"/>
        <v>213444444.44444445</v>
      </c>
      <c r="AM93" s="17">
        <f t="shared" si="53"/>
        <v>108856666.66666667</v>
      </c>
      <c r="AN93" s="17">
        <f t="shared" si="78"/>
        <v>52293888.888888888</v>
      </c>
      <c r="AO93" s="233">
        <f t="shared" si="79"/>
        <v>52293888.888888888</v>
      </c>
      <c r="AQ93" s="242">
        <f t="shared" si="54"/>
        <v>381692222.22222227</v>
      </c>
      <c r="AR93" s="17">
        <f t="shared" si="50"/>
        <v>99653888.888888896</v>
      </c>
      <c r="AS93" s="233">
        <f t="shared" si="50"/>
        <v>99653888.888888896</v>
      </c>
      <c r="AU93" s="260">
        <f t="shared" si="90"/>
        <v>0.12938719397363466</v>
      </c>
      <c r="AW93" s="244">
        <f t="shared" si="55"/>
        <v>0.23240115718418514</v>
      </c>
      <c r="AY93" s="238">
        <f t="shared" si="86"/>
        <v>-346346111.1111111</v>
      </c>
      <c r="BA93" s="19">
        <f t="shared" si="80"/>
        <v>109000000</v>
      </c>
      <c r="BB93" s="19">
        <f t="shared" si="81"/>
        <v>70850000</v>
      </c>
      <c r="BC93" s="19">
        <f t="shared" si="56"/>
        <v>12535000</v>
      </c>
      <c r="BD93" s="19">
        <f t="shared" si="57"/>
        <v>545000</v>
      </c>
      <c r="BE93" s="19">
        <f t="shared" si="82"/>
        <v>25070000</v>
      </c>
    </row>
    <row r="94" spans="1:57">
      <c r="A94" s="81" t="s">
        <v>362</v>
      </c>
      <c r="B94" s="1">
        <v>2095</v>
      </c>
      <c r="C94" s="263">
        <v>4.0000000000000001E-3</v>
      </c>
      <c r="D94" s="264">
        <f t="shared" si="47"/>
        <v>822500000</v>
      </c>
      <c r="E94" s="344">
        <f t="shared" si="58"/>
        <v>1151500000</v>
      </c>
      <c r="F94" s="676">
        <f t="shared" si="83"/>
        <v>77000000</v>
      </c>
      <c r="G94" s="16">
        <f t="shared" si="84"/>
        <v>945874999.99999988</v>
      </c>
      <c r="H94" s="19">
        <f t="shared" si="87"/>
        <v>681029999.99999988</v>
      </c>
      <c r="I94" s="16">
        <f t="shared" si="59"/>
        <v>205625000.00000012</v>
      </c>
      <c r="J94" s="19">
        <f t="shared" si="60"/>
        <v>118440000.00000006</v>
      </c>
      <c r="K94" s="16">
        <f t="shared" si="61"/>
        <v>0</v>
      </c>
      <c r="L94" s="25">
        <f t="shared" si="62"/>
        <v>0</v>
      </c>
      <c r="M94" s="229">
        <f t="shared" si="63"/>
        <v>799000000</v>
      </c>
      <c r="N94" s="230">
        <f t="shared" si="64"/>
        <v>242000000</v>
      </c>
      <c r="O94" s="231">
        <f t="shared" si="65"/>
        <v>557000000</v>
      </c>
      <c r="P94" s="265">
        <f t="shared" si="66"/>
        <v>30000000</v>
      </c>
      <c r="Q94" s="233">
        <f t="shared" si="67"/>
        <v>527000000</v>
      </c>
      <c r="R94" s="659">
        <f t="shared" si="68"/>
        <v>448000000</v>
      </c>
      <c r="S94" s="665">
        <f t="shared" si="85"/>
        <v>79000000</v>
      </c>
      <c r="T94" s="266">
        <f t="shared" si="69"/>
        <v>109000000</v>
      </c>
      <c r="U94" s="124">
        <f t="shared" si="70"/>
        <v>7.2337662337662341</v>
      </c>
      <c r="V94" s="124">
        <f t="shared" si="71"/>
        <v>0.69387755102040816</v>
      </c>
      <c r="X94" s="379">
        <f t="shared" si="72"/>
        <v>799000000</v>
      </c>
      <c r="Z94" s="19">
        <v>5000000</v>
      </c>
      <c r="AA94" s="236">
        <f t="shared" si="88"/>
        <v>-220000000</v>
      </c>
      <c r="AB94" s="237">
        <f t="shared" si="73"/>
        <v>584000000</v>
      </c>
      <c r="AD94" s="238">
        <f t="shared" si="51"/>
        <v>236000000</v>
      </c>
      <c r="AE94" s="238">
        <f t="shared" si="74"/>
        <v>348000000</v>
      </c>
      <c r="AF94" s="17"/>
      <c r="AG94" s="239">
        <f t="shared" si="52"/>
        <v>131555555.55555555</v>
      </c>
      <c r="AH94" s="262">
        <f t="shared" si="75"/>
        <v>36835555.555555552</v>
      </c>
      <c r="AI94" s="240">
        <f t="shared" si="76"/>
        <v>47360000</v>
      </c>
      <c r="AJ94" s="241">
        <f t="shared" si="77"/>
        <v>47360000</v>
      </c>
      <c r="AL94" s="239">
        <f t="shared" si="89"/>
        <v>216444444.44444445</v>
      </c>
      <c r="AM94" s="17">
        <f t="shared" si="53"/>
        <v>110386666.66666667</v>
      </c>
      <c r="AN94" s="17">
        <f t="shared" si="78"/>
        <v>53028888.888888888</v>
      </c>
      <c r="AO94" s="233">
        <f t="shared" si="79"/>
        <v>53028888.888888888</v>
      </c>
      <c r="AQ94" s="242">
        <f t="shared" si="54"/>
        <v>383222222.22222227</v>
      </c>
      <c r="AR94" s="17">
        <f t="shared" si="50"/>
        <v>100388888.8888889</v>
      </c>
      <c r="AS94" s="233">
        <f t="shared" si="50"/>
        <v>100388888.8888889</v>
      </c>
      <c r="AU94" s="260">
        <f t="shared" si="90"/>
        <v>0.12990583804143127</v>
      </c>
      <c r="AW94" s="244">
        <f t="shared" si="55"/>
        <v>0.23246878001921228</v>
      </c>
      <c r="AY94" s="238">
        <f t="shared" si="86"/>
        <v>-347611111.1111111</v>
      </c>
      <c r="BA94" s="19">
        <f t="shared" si="80"/>
        <v>109000000</v>
      </c>
      <c r="BB94" s="19">
        <f t="shared" si="81"/>
        <v>70850000</v>
      </c>
      <c r="BC94" s="19">
        <f t="shared" si="56"/>
        <v>12535000</v>
      </c>
      <c r="BD94" s="19">
        <f t="shared" si="57"/>
        <v>545000</v>
      </c>
      <c r="BE94" s="19">
        <f t="shared" si="82"/>
        <v>25070000</v>
      </c>
    </row>
    <row r="95" spans="1:57">
      <c r="A95" s="81" t="s">
        <v>363</v>
      </c>
      <c r="B95" s="1">
        <v>2096</v>
      </c>
      <c r="C95" s="263">
        <v>4.0000000000000001E-3</v>
      </c>
      <c r="D95" s="264">
        <f t="shared" si="47"/>
        <v>825800000</v>
      </c>
      <c r="E95" s="344">
        <f t="shared" si="58"/>
        <v>1156120000</v>
      </c>
      <c r="F95" s="676">
        <f t="shared" si="83"/>
        <v>77000000</v>
      </c>
      <c r="G95" s="16">
        <f t="shared" si="84"/>
        <v>949669999.99999988</v>
      </c>
      <c r="H95" s="19">
        <f t="shared" si="87"/>
        <v>683762399.99999988</v>
      </c>
      <c r="I95" s="16">
        <f t="shared" si="59"/>
        <v>206450000.00000012</v>
      </c>
      <c r="J95" s="19">
        <f t="shared" si="60"/>
        <v>118915200.00000006</v>
      </c>
      <c r="K95" s="16">
        <f t="shared" si="61"/>
        <v>0</v>
      </c>
      <c r="L95" s="25">
        <f t="shared" si="62"/>
        <v>0</v>
      </c>
      <c r="M95" s="229">
        <f t="shared" si="63"/>
        <v>803000000</v>
      </c>
      <c r="N95" s="230">
        <f t="shared" si="64"/>
        <v>243000000</v>
      </c>
      <c r="O95" s="231">
        <f t="shared" si="65"/>
        <v>560000000</v>
      </c>
      <c r="P95" s="265">
        <f t="shared" si="66"/>
        <v>30000000</v>
      </c>
      <c r="Q95" s="233">
        <f t="shared" si="67"/>
        <v>530000000</v>
      </c>
      <c r="R95" s="659">
        <f t="shared" si="68"/>
        <v>451000000</v>
      </c>
      <c r="S95" s="665">
        <f t="shared" si="85"/>
        <v>80000000</v>
      </c>
      <c r="T95" s="266">
        <f t="shared" si="69"/>
        <v>110000000</v>
      </c>
      <c r="U95" s="124">
        <f t="shared" si="70"/>
        <v>7.2727272727272725</v>
      </c>
      <c r="V95" s="124">
        <f t="shared" si="71"/>
        <v>0.69456457807148042</v>
      </c>
      <c r="X95" s="379">
        <f t="shared" si="72"/>
        <v>803000000</v>
      </c>
      <c r="Z95" s="19">
        <v>5000000</v>
      </c>
      <c r="AA95" s="236">
        <f t="shared" si="88"/>
        <v>-220000000</v>
      </c>
      <c r="AB95" s="237">
        <f t="shared" si="73"/>
        <v>588000000</v>
      </c>
      <c r="AD95" s="238">
        <f t="shared" si="51"/>
        <v>236000000</v>
      </c>
      <c r="AE95" s="238">
        <f t="shared" si="74"/>
        <v>352000000</v>
      </c>
      <c r="AF95" s="17"/>
      <c r="AG95" s="239">
        <f t="shared" si="52"/>
        <v>131555555.55555555</v>
      </c>
      <c r="AH95" s="262">
        <f t="shared" si="75"/>
        <v>36835555.555555552</v>
      </c>
      <c r="AI95" s="240">
        <f t="shared" si="76"/>
        <v>47360000</v>
      </c>
      <c r="AJ95" s="241">
        <f t="shared" si="77"/>
        <v>47360000</v>
      </c>
      <c r="AL95" s="239">
        <f t="shared" si="89"/>
        <v>220444444.44444445</v>
      </c>
      <c r="AM95" s="17">
        <f t="shared" si="53"/>
        <v>112426666.66666667</v>
      </c>
      <c r="AN95" s="17">
        <f t="shared" si="78"/>
        <v>54008888.888888888</v>
      </c>
      <c r="AO95" s="233">
        <f t="shared" si="79"/>
        <v>54008888.888888888</v>
      </c>
      <c r="AQ95" s="242">
        <f t="shared" si="54"/>
        <v>385262222.22222227</v>
      </c>
      <c r="AR95" s="17">
        <f t="shared" si="50"/>
        <v>101368888.8888889</v>
      </c>
      <c r="AS95" s="233">
        <f t="shared" si="50"/>
        <v>101368888.8888889</v>
      </c>
      <c r="AU95" s="260">
        <f t="shared" si="90"/>
        <v>0.1305973634651601</v>
      </c>
      <c r="AW95" s="244">
        <f t="shared" si="55"/>
        <v>0.23231357552581261</v>
      </c>
      <c r="AY95" s="238">
        <f t="shared" si="86"/>
        <v>-349631111.1111111</v>
      </c>
      <c r="BA95" s="19">
        <f t="shared" si="80"/>
        <v>110000000</v>
      </c>
      <c r="BB95" s="19">
        <f t="shared" si="81"/>
        <v>71500000</v>
      </c>
      <c r="BC95" s="19">
        <f t="shared" si="56"/>
        <v>12650000</v>
      </c>
      <c r="BD95" s="19">
        <f t="shared" si="57"/>
        <v>550000</v>
      </c>
      <c r="BE95" s="19">
        <f t="shared" si="82"/>
        <v>25300000</v>
      </c>
    </row>
    <row r="96" spans="1:57">
      <c r="A96" s="81" t="s">
        <v>364</v>
      </c>
      <c r="B96" s="1">
        <v>2097</v>
      </c>
      <c r="C96" s="263">
        <v>4.0000000000000001E-3</v>
      </c>
      <c r="D96" s="264">
        <f t="shared" si="47"/>
        <v>829100000</v>
      </c>
      <c r="E96" s="344">
        <f t="shared" si="58"/>
        <v>1160740000</v>
      </c>
      <c r="F96" s="676">
        <f t="shared" si="83"/>
        <v>77000000</v>
      </c>
      <c r="G96" s="16">
        <f t="shared" si="84"/>
        <v>953464999.99999988</v>
      </c>
      <c r="H96" s="19">
        <f t="shared" si="87"/>
        <v>686494799.99999988</v>
      </c>
      <c r="I96" s="16">
        <f t="shared" si="59"/>
        <v>207275000.00000012</v>
      </c>
      <c r="J96" s="19">
        <f t="shared" si="60"/>
        <v>119390400.00000006</v>
      </c>
      <c r="K96" s="16">
        <f t="shared" si="61"/>
        <v>0</v>
      </c>
      <c r="L96" s="25">
        <f t="shared" si="62"/>
        <v>0</v>
      </c>
      <c r="M96" s="229">
        <f t="shared" si="63"/>
        <v>806000000</v>
      </c>
      <c r="N96" s="230">
        <f t="shared" si="64"/>
        <v>244000000</v>
      </c>
      <c r="O96" s="231">
        <f t="shared" si="65"/>
        <v>562000000</v>
      </c>
      <c r="P96" s="265">
        <f t="shared" si="66"/>
        <v>30000000</v>
      </c>
      <c r="Q96" s="233">
        <f t="shared" si="67"/>
        <v>532000000</v>
      </c>
      <c r="R96" s="659">
        <f t="shared" si="68"/>
        <v>452000000</v>
      </c>
      <c r="S96" s="665">
        <f t="shared" si="85"/>
        <v>80000000</v>
      </c>
      <c r="T96" s="266">
        <f t="shared" si="69"/>
        <v>110000000</v>
      </c>
      <c r="U96" s="124">
        <f t="shared" si="70"/>
        <v>7.2987012987012987</v>
      </c>
      <c r="V96" s="124">
        <f t="shared" si="71"/>
        <v>0.69438461671002982</v>
      </c>
      <c r="X96" s="379">
        <f t="shared" si="72"/>
        <v>806000000</v>
      </c>
      <c r="Z96" s="19">
        <v>5000000</v>
      </c>
      <c r="AA96" s="236">
        <f t="shared" si="88"/>
        <v>-220000000</v>
      </c>
      <c r="AB96" s="237">
        <f t="shared" si="73"/>
        <v>591000000</v>
      </c>
      <c r="AD96" s="238">
        <f t="shared" si="51"/>
        <v>236000000</v>
      </c>
      <c r="AE96" s="238">
        <f t="shared" si="74"/>
        <v>355000000</v>
      </c>
      <c r="AF96" s="17"/>
      <c r="AG96" s="239">
        <f t="shared" si="52"/>
        <v>131555555.55555555</v>
      </c>
      <c r="AH96" s="262">
        <f t="shared" si="75"/>
        <v>36835555.555555552</v>
      </c>
      <c r="AI96" s="240">
        <f t="shared" si="76"/>
        <v>47360000</v>
      </c>
      <c r="AJ96" s="241">
        <f t="shared" si="77"/>
        <v>47360000</v>
      </c>
      <c r="AL96" s="239">
        <f t="shared" si="89"/>
        <v>223444444.44444445</v>
      </c>
      <c r="AM96" s="17">
        <f t="shared" si="53"/>
        <v>113956666.66666667</v>
      </c>
      <c r="AN96" s="17">
        <f t="shared" si="78"/>
        <v>54743888.888888888</v>
      </c>
      <c r="AO96" s="233">
        <f t="shared" si="79"/>
        <v>54743888.888888888</v>
      </c>
      <c r="AQ96" s="242">
        <f t="shared" si="54"/>
        <v>386792222.22222227</v>
      </c>
      <c r="AR96" s="17">
        <f t="shared" si="50"/>
        <v>102103888.8888889</v>
      </c>
      <c r="AS96" s="233">
        <f t="shared" si="50"/>
        <v>102103888.8888889</v>
      </c>
      <c r="AU96" s="260">
        <f t="shared" si="90"/>
        <v>0.13111600753295671</v>
      </c>
      <c r="AW96" s="244">
        <f t="shared" si="55"/>
        <v>0.23238095238095238</v>
      </c>
      <c r="AY96" s="238">
        <f t="shared" si="86"/>
        <v>-349896111.1111111</v>
      </c>
      <c r="BA96" s="19">
        <f t="shared" si="80"/>
        <v>110000000</v>
      </c>
      <c r="BB96" s="19">
        <f t="shared" si="81"/>
        <v>71500000</v>
      </c>
      <c r="BC96" s="19">
        <f t="shared" si="56"/>
        <v>12650000</v>
      </c>
      <c r="BD96" s="19">
        <f t="shared" si="57"/>
        <v>550000</v>
      </c>
      <c r="BE96" s="19">
        <f t="shared" si="82"/>
        <v>25300000</v>
      </c>
    </row>
    <row r="97" spans="1:57">
      <c r="A97" s="81" t="s">
        <v>365</v>
      </c>
      <c r="B97" s="1">
        <v>2098</v>
      </c>
      <c r="C97" s="263">
        <v>4.0000000000000001E-3</v>
      </c>
      <c r="D97" s="264">
        <f t="shared" si="47"/>
        <v>832400000</v>
      </c>
      <c r="E97" s="344">
        <f t="shared" si="58"/>
        <v>1165360000</v>
      </c>
      <c r="F97" s="676">
        <f t="shared" si="83"/>
        <v>78000000</v>
      </c>
      <c r="G97" s="16">
        <f t="shared" si="84"/>
        <v>957259999.99999988</v>
      </c>
      <c r="H97" s="19">
        <f t="shared" si="87"/>
        <v>689227199.99999988</v>
      </c>
      <c r="I97" s="16">
        <f t="shared" si="59"/>
        <v>208100000.00000012</v>
      </c>
      <c r="J97" s="19">
        <f t="shared" si="60"/>
        <v>119865600.00000006</v>
      </c>
      <c r="K97" s="16">
        <f t="shared" si="61"/>
        <v>0</v>
      </c>
      <c r="L97" s="25">
        <f t="shared" si="62"/>
        <v>0</v>
      </c>
      <c r="M97" s="229">
        <f t="shared" si="63"/>
        <v>809000000</v>
      </c>
      <c r="N97" s="230">
        <f t="shared" si="64"/>
        <v>245000000</v>
      </c>
      <c r="O97" s="231">
        <f t="shared" si="65"/>
        <v>564000000</v>
      </c>
      <c r="P97" s="265">
        <f t="shared" si="66"/>
        <v>30000000</v>
      </c>
      <c r="Q97" s="233">
        <f t="shared" si="67"/>
        <v>534000000</v>
      </c>
      <c r="R97" s="659">
        <f t="shared" si="68"/>
        <v>454000000</v>
      </c>
      <c r="S97" s="665">
        <f t="shared" si="85"/>
        <v>80000000</v>
      </c>
      <c r="T97" s="266">
        <f t="shared" si="69"/>
        <v>110000000</v>
      </c>
      <c r="U97" s="124">
        <f t="shared" si="70"/>
        <v>7.2307692307692308</v>
      </c>
      <c r="V97" s="124">
        <f t="shared" si="71"/>
        <v>0.69420608224068103</v>
      </c>
      <c r="X97" s="379">
        <f t="shared" si="72"/>
        <v>809000000</v>
      </c>
      <c r="Z97" s="19">
        <v>5000000</v>
      </c>
      <c r="AA97" s="236">
        <f t="shared" si="88"/>
        <v>-220000000</v>
      </c>
      <c r="AB97" s="237">
        <f t="shared" si="73"/>
        <v>594000000</v>
      </c>
      <c r="AD97" s="238">
        <f t="shared" si="51"/>
        <v>236000000</v>
      </c>
      <c r="AE97" s="238">
        <f t="shared" si="74"/>
        <v>358000000</v>
      </c>
      <c r="AF97" s="17"/>
      <c r="AG97" s="239">
        <f t="shared" si="52"/>
        <v>131555555.55555555</v>
      </c>
      <c r="AH97" s="262">
        <f t="shared" si="75"/>
        <v>36835555.555555552</v>
      </c>
      <c r="AI97" s="240">
        <f t="shared" si="76"/>
        <v>47360000</v>
      </c>
      <c r="AJ97" s="241">
        <f t="shared" si="77"/>
        <v>47360000</v>
      </c>
      <c r="AL97" s="239">
        <f t="shared" si="89"/>
        <v>226444444.44444445</v>
      </c>
      <c r="AM97" s="17">
        <f t="shared" si="53"/>
        <v>115486666.66666667</v>
      </c>
      <c r="AN97" s="17">
        <f t="shared" si="78"/>
        <v>55478888.888888888</v>
      </c>
      <c r="AO97" s="233">
        <f t="shared" si="79"/>
        <v>55478888.888888888</v>
      </c>
      <c r="AQ97" s="242">
        <f t="shared" si="54"/>
        <v>388322222.22222227</v>
      </c>
      <c r="AR97" s="17">
        <f t="shared" si="50"/>
        <v>102838888.8888889</v>
      </c>
      <c r="AS97" s="233">
        <f t="shared" si="50"/>
        <v>102838888.8888889</v>
      </c>
      <c r="AU97" s="260">
        <f t="shared" si="90"/>
        <v>0.1316346516007533</v>
      </c>
      <c r="AW97" s="244">
        <f t="shared" si="55"/>
        <v>0.23244781783681215</v>
      </c>
      <c r="AY97" s="238">
        <f t="shared" si="86"/>
        <v>-351161111.1111111</v>
      </c>
      <c r="BA97" s="19">
        <f t="shared" si="80"/>
        <v>110000000</v>
      </c>
      <c r="BB97" s="19">
        <f t="shared" si="81"/>
        <v>71500000</v>
      </c>
      <c r="BC97" s="19">
        <f t="shared" si="56"/>
        <v>12650000</v>
      </c>
      <c r="BD97" s="19">
        <f t="shared" si="57"/>
        <v>550000</v>
      </c>
      <c r="BE97" s="19">
        <f t="shared" si="82"/>
        <v>25300000</v>
      </c>
    </row>
    <row r="98" spans="1:57">
      <c r="A98" s="81" t="s">
        <v>366</v>
      </c>
      <c r="B98" s="1">
        <v>2099</v>
      </c>
      <c r="C98" s="263">
        <v>4.0000000000000001E-3</v>
      </c>
      <c r="D98" s="264">
        <f t="shared" si="47"/>
        <v>835700000</v>
      </c>
      <c r="E98" s="344">
        <f t="shared" si="58"/>
        <v>1169980000</v>
      </c>
      <c r="F98" s="676">
        <f t="shared" si="83"/>
        <v>78000000</v>
      </c>
      <c r="G98" s="16">
        <f t="shared" si="84"/>
        <v>961054999.99999988</v>
      </c>
      <c r="H98" s="19">
        <f t="shared" si="87"/>
        <v>691959599.99999988</v>
      </c>
      <c r="I98" s="16">
        <f t="shared" si="59"/>
        <v>208925000.00000012</v>
      </c>
      <c r="J98" s="19">
        <f t="shared" si="60"/>
        <v>120340800.00000006</v>
      </c>
      <c r="K98" s="16">
        <f t="shared" si="61"/>
        <v>0</v>
      </c>
      <c r="L98" s="25">
        <f t="shared" si="62"/>
        <v>0</v>
      </c>
      <c r="M98" s="229">
        <f t="shared" si="63"/>
        <v>812000000</v>
      </c>
      <c r="N98" s="230">
        <f t="shared" si="64"/>
        <v>246000000</v>
      </c>
      <c r="O98" s="231">
        <f t="shared" si="65"/>
        <v>566000000</v>
      </c>
      <c r="P98" s="265">
        <f t="shared" si="66"/>
        <v>30000000</v>
      </c>
      <c r="Q98" s="233">
        <f t="shared" si="67"/>
        <v>536000000</v>
      </c>
      <c r="R98" s="659">
        <f t="shared" si="68"/>
        <v>456000000</v>
      </c>
      <c r="S98" s="665">
        <f t="shared" si="85"/>
        <v>80000000</v>
      </c>
      <c r="T98" s="266">
        <f t="shared" si="69"/>
        <v>110000000</v>
      </c>
      <c r="U98" s="124">
        <f t="shared" si="70"/>
        <v>7.2564102564102564</v>
      </c>
      <c r="V98" s="124">
        <f t="shared" si="71"/>
        <v>0.69402895775996176</v>
      </c>
      <c r="X98" s="379">
        <f t="shared" si="72"/>
        <v>812000000</v>
      </c>
      <c r="Z98" s="19">
        <v>5000000</v>
      </c>
      <c r="AA98" s="236">
        <f t="shared" si="88"/>
        <v>-220000000</v>
      </c>
      <c r="AB98" s="237">
        <f t="shared" si="73"/>
        <v>597000000</v>
      </c>
      <c r="AD98" s="238">
        <f t="shared" si="51"/>
        <v>236000000</v>
      </c>
      <c r="AE98" s="238">
        <f t="shared" si="74"/>
        <v>361000000</v>
      </c>
      <c r="AF98" s="17"/>
      <c r="AG98" s="239">
        <f t="shared" si="52"/>
        <v>131555555.55555555</v>
      </c>
      <c r="AH98" s="262">
        <f t="shared" si="75"/>
        <v>36835555.555555552</v>
      </c>
      <c r="AI98" s="240">
        <f t="shared" si="76"/>
        <v>47360000</v>
      </c>
      <c r="AJ98" s="241">
        <f t="shared" si="77"/>
        <v>47360000</v>
      </c>
      <c r="AL98" s="239">
        <f t="shared" si="89"/>
        <v>229444444.44444445</v>
      </c>
      <c r="AM98" s="17">
        <f t="shared" si="53"/>
        <v>117016666.66666667</v>
      </c>
      <c r="AN98" s="17">
        <f t="shared" si="78"/>
        <v>56213888.888888888</v>
      </c>
      <c r="AO98" s="233">
        <f t="shared" si="79"/>
        <v>56213888.888888888</v>
      </c>
      <c r="AQ98" s="242">
        <f t="shared" si="54"/>
        <v>389852222.22222227</v>
      </c>
      <c r="AR98" s="17">
        <f t="shared" si="50"/>
        <v>103573888.8888889</v>
      </c>
      <c r="AS98" s="233">
        <f t="shared" si="50"/>
        <v>103573888.8888889</v>
      </c>
      <c r="AU98" s="260">
        <f t="shared" si="90"/>
        <v>0.13215329566854991</v>
      </c>
      <c r="AW98" s="244">
        <f t="shared" si="55"/>
        <v>0.23251417769376181</v>
      </c>
      <c r="AY98" s="238">
        <f t="shared" si="86"/>
        <v>-352426111.1111111</v>
      </c>
      <c r="BA98" s="19">
        <f t="shared" si="80"/>
        <v>110000000</v>
      </c>
      <c r="BB98" s="19">
        <f t="shared" si="81"/>
        <v>71500000</v>
      </c>
      <c r="BC98" s="19">
        <f t="shared" si="56"/>
        <v>12650000</v>
      </c>
      <c r="BD98" s="19">
        <f t="shared" si="57"/>
        <v>550000</v>
      </c>
      <c r="BE98" s="19">
        <f t="shared" si="82"/>
        <v>25300000</v>
      </c>
    </row>
    <row r="99" spans="1:57">
      <c r="A99" s="81" t="s">
        <v>393</v>
      </c>
      <c r="B99" s="1">
        <v>2100</v>
      </c>
      <c r="C99" s="263">
        <v>4.0000000000000001E-3</v>
      </c>
      <c r="D99" s="264">
        <f t="shared" si="47"/>
        <v>839000000</v>
      </c>
      <c r="E99" s="344">
        <f t="shared" si="58"/>
        <v>1174600000</v>
      </c>
      <c r="F99" s="676">
        <f t="shared" si="83"/>
        <v>78000000</v>
      </c>
      <c r="G99" s="16">
        <f t="shared" si="84"/>
        <v>964849999.99999988</v>
      </c>
      <c r="H99" s="19">
        <f t="shared" si="87"/>
        <v>694691999.99999988</v>
      </c>
      <c r="I99" s="16">
        <f t="shared" si="59"/>
        <v>209750000.00000012</v>
      </c>
      <c r="J99" s="19">
        <f t="shared" si="60"/>
        <v>120816000.00000006</v>
      </c>
      <c r="K99" s="16">
        <f t="shared" si="61"/>
        <v>0</v>
      </c>
      <c r="L99" s="25">
        <f t="shared" si="62"/>
        <v>0</v>
      </c>
      <c r="M99" s="229">
        <f t="shared" si="63"/>
        <v>816000000</v>
      </c>
      <c r="N99" s="230">
        <f t="shared" si="64"/>
        <v>247000000</v>
      </c>
      <c r="O99" s="231">
        <f t="shared" si="65"/>
        <v>569000000</v>
      </c>
      <c r="P99" s="265">
        <f t="shared" si="66"/>
        <v>30000000</v>
      </c>
      <c r="Q99" s="233">
        <f t="shared" si="67"/>
        <v>539000000</v>
      </c>
      <c r="R99" s="659">
        <f t="shared" si="68"/>
        <v>458000000</v>
      </c>
      <c r="S99" s="665">
        <f t="shared" si="85"/>
        <v>81000000</v>
      </c>
      <c r="T99" s="266">
        <f t="shared" si="69"/>
        <v>111000000</v>
      </c>
      <c r="U99" s="124">
        <f t="shared" si="70"/>
        <v>7.2948717948717947</v>
      </c>
      <c r="V99" s="124">
        <f t="shared" si="71"/>
        <v>0.69470458028264936</v>
      </c>
      <c r="X99" s="379">
        <f t="shared" si="72"/>
        <v>816000000</v>
      </c>
      <c r="Z99" s="19">
        <v>5000000</v>
      </c>
      <c r="AA99" s="236">
        <f t="shared" si="88"/>
        <v>-220000000</v>
      </c>
      <c r="AB99" s="237">
        <f t="shared" si="73"/>
        <v>601000000</v>
      </c>
      <c r="AD99" s="238">
        <f t="shared" si="51"/>
        <v>236000000</v>
      </c>
      <c r="AE99" s="238">
        <f t="shared" si="74"/>
        <v>365000000</v>
      </c>
      <c r="AF99" s="17"/>
      <c r="AG99" s="239">
        <f t="shared" si="52"/>
        <v>131555555.55555555</v>
      </c>
      <c r="AH99" s="262">
        <f t="shared" si="75"/>
        <v>36835555.555555552</v>
      </c>
      <c r="AI99" s="240">
        <f t="shared" si="76"/>
        <v>47360000</v>
      </c>
      <c r="AJ99" s="241">
        <f t="shared" si="77"/>
        <v>47360000</v>
      </c>
      <c r="AL99" s="239">
        <f t="shared" si="89"/>
        <v>233444444.44444445</v>
      </c>
      <c r="AM99" s="17">
        <f t="shared" si="53"/>
        <v>119056666.66666667</v>
      </c>
      <c r="AN99" s="17">
        <f t="shared" si="78"/>
        <v>57193888.888888888</v>
      </c>
      <c r="AO99" s="233">
        <f t="shared" si="79"/>
        <v>57193888.888888888</v>
      </c>
      <c r="AQ99" s="242">
        <f t="shared" si="54"/>
        <v>391892222.22222227</v>
      </c>
      <c r="AR99" s="17">
        <f t="shared" si="50"/>
        <v>104553888.8888889</v>
      </c>
      <c r="AS99" s="233">
        <f t="shared" si="50"/>
        <v>104553888.8888889</v>
      </c>
      <c r="AU99" s="260">
        <f t="shared" si="90"/>
        <v>0.13284482109227874</v>
      </c>
      <c r="AW99" s="244">
        <f t="shared" si="55"/>
        <v>0.2323612417685795</v>
      </c>
      <c r="AY99" s="238">
        <f t="shared" si="86"/>
        <v>-353446111.1111111</v>
      </c>
      <c r="BA99" s="19">
        <f t="shared" si="80"/>
        <v>111000000</v>
      </c>
      <c r="BB99" s="19">
        <f t="shared" si="81"/>
        <v>72150000</v>
      </c>
      <c r="BC99" s="19">
        <f t="shared" si="56"/>
        <v>12765000</v>
      </c>
      <c r="BD99" s="19">
        <f t="shared" si="57"/>
        <v>555000</v>
      </c>
      <c r="BE99" s="19">
        <f t="shared" si="82"/>
        <v>25530000</v>
      </c>
    </row>
    <row r="100" spans="1:57">
      <c r="A100" s="81" t="s">
        <v>394</v>
      </c>
      <c r="B100" s="1">
        <v>2101</v>
      </c>
      <c r="C100" s="263">
        <v>4.0000000000000001E-3</v>
      </c>
      <c r="D100" s="264">
        <f t="shared" si="47"/>
        <v>842400000</v>
      </c>
      <c r="E100" s="344">
        <f t="shared" si="58"/>
        <v>1179360000</v>
      </c>
      <c r="F100" s="676">
        <f t="shared" si="83"/>
        <v>79000000</v>
      </c>
      <c r="G100" s="16">
        <f t="shared" si="84"/>
        <v>968759999.99999988</v>
      </c>
      <c r="H100" s="19">
        <f t="shared" si="87"/>
        <v>697507199.99999988</v>
      </c>
      <c r="I100" s="16">
        <f t="shared" si="59"/>
        <v>210600000.00000012</v>
      </c>
      <c r="J100" s="19">
        <f t="shared" si="60"/>
        <v>121305600.00000006</v>
      </c>
      <c r="K100" s="16">
        <f t="shared" si="61"/>
        <v>0</v>
      </c>
      <c r="L100" s="25">
        <f t="shared" si="62"/>
        <v>0</v>
      </c>
      <c r="M100" s="229">
        <f t="shared" si="63"/>
        <v>819000000</v>
      </c>
      <c r="N100" s="230">
        <f t="shared" si="64"/>
        <v>248000000</v>
      </c>
      <c r="O100" s="231">
        <f t="shared" si="65"/>
        <v>571000000</v>
      </c>
      <c r="P100" s="265">
        <f t="shared" si="66"/>
        <v>30000000</v>
      </c>
      <c r="Q100" s="233">
        <f t="shared" si="67"/>
        <v>541000000</v>
      </c>
      <c r="R100" s="659">
        <f t="shared" si="68"/>
        <v>460000000</v>
      </c>
      <c r="S100" s="665">
        <f t="shared" si="85"/>
        <v>81000000</v>
      </c>
      <c r="T100" s="266">
        <f t="shared" si="69"/>
        <v>111000000</v>
      </c>
      <c r="U100" s="124">
        <f t="shared" si="70"/>
        <v>7.2278481012658231</v>
      </c>
      <c r="V100" s="124">
        <f t="shared" si="71"/>
        <v>0.69444444444444442</v>
      </c>
      <c r="X100" s="379">
        <f t="shared" si="72"/>
        <v>819000000</v>
      </c>
      <c r="Z100" s="19">
        <v>5000000</v>
      </c>
      <c r="AA100" s="236">
        <f t="shared" si="88"/>
        <v>-220000000</v>
      </c>
      <c r="AB100" s="237">
        <f t="shared" si="73"/>
        <v>604000000</v>
      </c>
      <c r="AD100" s="238">
        <f t="shared" si="51"/>
        <v>236000000</v>
      </c>
      <c r="AE100" s="238">
        <f t="shared" si="74"/>
        <v>368000000</v>
      </c>
      <c r="AF100" s="17"/>
      <c r="AG100" s="239">
        <f t="shared" si="52"/>
        <v>131555555.55555555</v>
      </c>
      <c r="AH100" s="262">
        <f t="shared" si="75"/>
        <v>36835555.555555552</v>
      </c>
      <c r="AI100" s="240">
        <f t="shared" si="76"/>
        <v>47360000</v>
      </c>
      <c r="AJ100" s="241">
        <f t="shared" si="77"/>
        <v>47360000</v>
      </c>
      <c r="AL100" s="239">
        <f t="shared" si="89"/>
        <v>236444444.44444445</v>
      </c>
      <c r="AM100" s="17">
        <f t="shared" si="53"/>
        <v>120586666.66666667</v>
      </c>
      <c r="AN100" s="17">
        <f t="shared" si="78"/>
        <v>57928888.888888888</v>
      </c>
      <c r="AO100" s="233">
        <f t="shared" si="79"/>
        <v>57928888.888888888</v>
      </c>
      <c r="AQ100" s="242">
        <f t="shared" si="54"/>
        <v>393422222.22222227</v>
      </c>
      <c r="AR100" s="17">
        <f t="shared" si="50"/>
        <v>105288888.8888889</v>
      </c>
      <c r="AS100" s="233">
        <f t="shared" si="50"/>
        <v>105288888.8888889</v>
      </c>
      <c r="AU100" s="260">
        <f t="shared" si="90"/>
        <v>0.13336346516007536</v>
      </c>
      <c r="AW100" s="244">
        <f t="shared" si="55"/>
        <v>0.23242736644798501</v>
      </c>
      <c r="AY100" s="238">
        <f t="shared" si="86"/>
        <v>-354711111.1111111</v>
      </c>
      <c r="BA100" s="19">
        <f t="shared" si="80"/>
        <v>111000000</v>
      </c>
      <c r="BB100" s="19">
        <f t="shared" si="81"/>
        <v>72150000</v>
      </c>
      <c r="BC100" s="19">
        <f t="shared" si="56"/>
        <v>12765000</v>
      </c>
      <c r="BD100" s="19">
        <f t="shared" si="57"/>
        <v>555000</v>
      </c>
      <c r="BE100" s="19">
        <f t="shared" si="82"/>
        <v>25530000</v>
      </c>
    </row>
    <row r="101" spans="1:57">
      <c r="A101" s="81" t="s">
        <v>367</v>
      </c>
      <c r="B101" s="1">
        <v>2102</v>
      </c>
      <c r="C101" s="263">
        <v>4.0000000000000001E-3</v>
      </c>
      <c r="D101" s="264">
        <f t="shared" si="47"/>
        <v>845800000</v>
      </c>
      <c r="E101" s="344">
        <f t="shared" si="58"/>
        <v>1184120000</v>
      </c>
      <c r="F101" s="676">
        <f t="shared" si="83"/>
        <v>79000000</v>
      </c>
      <c r="G101" s="16">
        <f t="shared" si="84"/>
        <v>972669999.99999988</v>
      </c>
      <c r="H101" s="19">
        <f t="shared" si="87"/>
        <v>700322399.99999988</v>
      </c>
      <c r="I101" s="16">
        <f t="shared" si="59"/>
        <v>211450000.00000012</v>
      </c>
      <c r="J101" s="19">
        <f t="shared" si="60"/>
        <v>121795200.00000006</v>
      </c>
      <c r="K101" s="16">
        <f t="shared" si="61"/>
        <v>0</v>
      </c>
      <c r="L101" s="25">
        <f t="shared" si="62"/>
        <v>0</v>
      </c>
      <c r="M101" s="229">
        <f t="shared" si="63"/>
        <v>822000000</v>
      </c>
      <c r="N101" s="230">
        <f t="shared" si="64"/>
        <v>249000000</v>
      </c>
      <c r="O101" s="231">
        <f t="shared" si="65"/>
        <v>573000000</v>
      </c>
      <c r="P101" s="265">
        <f t="shared" si="66"/>
        <v>30000000</v>
      </c>
      <c r="Q101" s="233">
        <f t="shared" si="67"/>
        <v>543000000</v>
      </c>
      <c r="R101" s="659">
        <f t="shared" si="68"/>
        <v>462000000</v>
      </c>
      <c r="S101" s="665">
        <f t="shared" si="85"/>
        <v>81000000</v>
      </c>
      <c r="T101" s="266">
        <f t="shared" si="69"/>
        <v>111000000</v>
      </c>
      <c r="U101" s="124">
        <f t="shared" si="70"/>
        <v>7.2531645569620249</v>
      </c>
      <c r="V101" s="124">
        <f t="shared" si="71"/>
        <v>0.69418640002702425</v>
      </c>
      <c r="X101" s="379">
        <f t="shared" si="72"/>
        <v>822000000</v>
      </c>
      <c r="Z101" s="19">
        <v>5000000</v>
      </c>
      <c r="AA101" s="236">
        <f t="shared" si="88"/>
        <v>-220000000</v>
      </c>
      <c r="AB101" s="237">
        <f t="shared" si="73"/>
        <v>607000000</v>
      </c>
      <c r="AD101" s="238">
        <f t="shared" si="51"/>
        <v>236000000</v>
      </c>
      <c r="AE101" s="238">
        <f t="shared" si="74"/>
        <v>371000000</v>
      </c>
      <c r="AF101" s="17"/>
      <c r="AG101" s="239">
        <f t="shared" si="52"/>
        <v>131555555.55555555</v>
      </c>
      <c r="AH101" s="262">
        <f t="shared" si="75"/>
        <v>36835555.555555552</v>
      </c>
      <c r="AI101" s="240">
        <f t="shared" si="76"/>
        <v>47360000</v>
      </c>
      <c r="AJ101" s="241">
        <f t="shared" si="77"/>
        <v>47360000</v>
      </c>
      <c r="AL101" s="239">
        <f t="shared" si="89"/>
        <v>239444444.44444445</v>
      </c>
      <c r="AM101" s="17">
        <f t="shared" si="53"/>
        <v>122116666.66666667</v>
      </c>
      <c r="AN101" s="17">
        <f t="shared" si="78"/>
        <v>58663888.888888888</v>
      </c>
      <c r="AO101" s="233">
        <f t="shared" si="79"/>
        <v>58663888.888888888</v>
      </c>
      <c r="AQ101" s="242">
        <f t="shared" si="54"/>
        <v>394952222.22222227</v>
      </c>
      <c r="AR101" s="17">
        <f t="shared" si="50"/>
        <v>106023888.8888889</v>
      </c>
      <c r="AS101" s="233">
        <f t="shared" si="50"/>
        <v>106023888.8888889</v>
      </c>
      <c r="AU101" s="260">
        <f t="shared" si="90"/>
        <v>0.13388210922787194</v>
      </c>
      <c r="AW101" s="244">
        <f t="shared" si="55"/>
        <v>0.23249299719887956</v>
      </c>
      <c r="AY101" s="238">
        <f t="shared" si="86"/>
        <v>-355976111.1111111</v>
      </c>
      <c r="BA101" s="19">
        <f t="shared" si="80"/>
        <v>111000000</v>
      </c>
      <c r="BB101" s="19">
        <f t="shared" si="81"/>
        <v>72150000</v>
      </c>
      <c r="BC101" s="19">
        <f t="shared" si="56"/>
        <v>12765000</v>
      </c>
      <c r="BD101" s="19">
        <f t="shared" si="57"/>
        <v>555000</v>
      </c>
      <c r="BE101" s="19">
        <f t="shared" si="82"/>
        <v>25530000</v>
      </c>
    </row>
    <row r="102" spans="1:57">
      <c r="A102" s="81" t="s">
        <v>368</v>
      </c>
      <c r="B102" s="1">
        <v>2103</v>
      </c>
      <c r="C102" s="263">
        <v>4.0000000000000001E-3</v>
      </c>
      <c r="D102" s="264">
        <f t="shared" si="47"/>
        <v>849200000</v>
      </c>
      <c r="E102" s="344">
        <f t="shared" si="58"/>
        <v>1188880000</v>
      </c>
      <c r="F102" s="676">
        <f t="shared" si="83"/>
        <v>79000000</v>
      </c>
      <c r="G102" s="16">
        <f t="shared" si="84"/>
        <v>976579999.99999988</v>
      </c>
      <c r="H102" s="19">
        <f t="shared" si="87"/>
        <v>703137599.99999988</v>
      </c>
      <c r="I102" s="16">
        <f t="shared" si="59"/>
        <v>212300000.00000012</v>
      </c>
      <c r="J102" s="19">
        <f t="shared" si="60"/>
        <v>122284800.00000006</v>
      </c>
      <c r="K102" s="16">
        <f t="shared" si="61"/>
        <v>0</v>
      </c>
      <c r="L102" s="25">
        <f t="shared" si="62"/>
        <v>0</v>
      </c>
      <c r="M102" s="229">
        <f t="shared" si="63"/>
        <v>825000000</v>
      </c>
      <c r="N102" s="230">
        <f t="shared" si="64"/>
        <v>250000000</v>
      </c>
      <c r="O102" s="231">
        <f t="shared" si="65"/>
        <v>575000000</v>
      </c>
      <c r="P102" s="265">
        <f t="shared" si="66"/>
        <v>30000000</v>
      </c>
      <c r="Q102" s="233">
        <f t="shared" si="67"/>
        <v>545000000</v>
      </c>
      <c r="R102" s="659">
        <f t="shared" si="68"/>
        <v>463000000</v>
      </c>
      <c r="S102" s="665">
        <f t="shared" si="85"/>
        <v>82000000</v>
      </c>
      <c r="T102" s="266">
        <f t="shared" si="69"/>
        <v>112000000</v>
      </c>
      <c r="U102" s="124">
        <f t="shared" si="70"/>
        <v>7.2784810126582276</v>
      </c>
      <c r="V102" s="124">
        <f t="shared" si="71"/>
        <v>0.69393042190969656</v>
      </c>
      <c r="X102" s="379">
        <f t="shared" si="72"/>
        <v>825000000</v>
      </c>
      <c r="Z102" s="19">
        <v>5000000</v>
      </c>
      <c r="AA102" s="236">
        <f t="shared" si="88"/>
        <v>-220000000</v>
      </c>
      <c r="AB102" s="237">
        <f t="shared" si="73"/>
        <v>610000000</v>
      </c>
      <c r="AD102" s="238">
        <f t="shared" si="51"/>
        <v>236000000</v>
      </c>
      <c r="AE102" s="238">
        <f t="shared" si="74"/>
        <v>374000000</v>
      </c>
      <c r="AF102" s="17"/>
      <c r="AG102" s="239">
        <f t="shared" si="52"/>
        <v>131555555.55555555</v>
      </c>
      <c r="AH102" s="262">
        <f t="shared" si="75"/>
        <v>36835555.555555552</v>
      </c>
      <c r="AI102" s="240">
        <f t="shared" si="76"/>
        <v>47360000</v>
      </c>
      <c r="AJ102" s="241">
        <f t="shared" si="77"/>
        <v>47360000</v>
      </c>
      <c r="AL102" s="239">
        <f t="shared" si="89"/>
        <v>242444444.44444445</v>
      </c>
      <c r="AM102" s="17">
        <f t="shared" si="53"/>
        <v>123646666.66666667</v>
      </c>
      <c r="AN102" s="17">
        <f t="shared" si="78"/>
        <v>59398888.888888888</v>
      </c>
      <c r="AO102" s="233">
        <f t="shared" si="79"/>
        <v>59398888.888888888</v>
      </c>
      <c r="AQ102" s="242">
        <f t="shared" si="54"/>
        <v>396482222.22222227</v>
      </c>
      <c r="AR102" s="17">
        <f t="shared" si="50"/>
        <v>106758888.8888889</v>
      </c>
      <c r="AS102" s="233">
        <f t="shared" si="50"/>
        <v>106758888.8888889</v>
      </c>
      <c r="AU102" s="260">
        <f t="shared" si="90"/>
        <v>0.13440075329566856</v>
      </c>
      <c r="AW102" s="244">
        <f t="shared" si="55"/>
        <v>0.23255813953488372</v>
      </c>
      <c r="AY102" s="238">
        <f t="shared" si="86"/>
        <v>-356241111.1111111</v>
      </c>
      <c r="BA102" s="19">
        <f t="shared" si="80"/>
        <v>112000000</v>
      </c>
      <c r="BB102" s="19">
        <f t="shared" si="81"/>
        <v>72800000</v>
      </c>
      <c r="BC102" s="19">
        <f t="shared" si="56"/>
        <v>12880000</v>
      </c>
      <c r="BD102" s="19">
        <f t="shared" si="57"/>
        <v>560000</v>
      </c>
      <c r="BE102" s="19">
        <f t="shared" si="82"/>
        <v>25760000</v>
      </c>
    </row>
    <row r="103" spans="1:57">
      <c r="A103" s="81" t="s">
        <v>369</v>
      </c>
      <c r="B103" s="1">
        <v>2104</v>
      </c>
      <c r="C103" s="263">
        <v>4.0000000000000001E-3</v>
      </c>
      <c r="D103" s="264">
        <f t="shared" si="47"/>
        <v>852600000</v>
      </c>
      <c r="E103" s="344">
        <f t="shared" si="58"/>
        <v>1193640000</v>
      </c>
      <c r="F103" s="676">
        <f t="shared" si="83"/>
        <v>80000000</v>
      </c>
      <c r="G103" s="16">
        <f t="shared" si="84"/>
        <v>980489999.99999988</v>
      </c>
      <c r="H103" s="19">
        <f t="shared" si="87"/>
        <v>705952799.99999988</v>
      </c>
      <c r="I103" s="16">
        <f t="shared" si="59"/>
        <v>213150000.00000012</v>
      </c>
      <c r="J103" s="19">
        <f t="shared" si="60"/>
        <v>122774400.00000006</v>
      </c>
      <c r="K103" s="16">
        <f t="shared" si="61"/>
        <v>0</v>
      </c>
      <c r="L103" s="25">
        <f t="shared" si="62"/>
        <v>0</v>
      </c>
      <c r="M103" s="229">
        <f t="shared" si="63"/>
        <v>829000000</v>
      </c>
      <c r="N103" s="230">
        <f t="shared" si="64"/>
        <v>251000000</v>
      </c>
      <c r="O103" s="231">
        <f t="shared" si="65"/>
        <v>578000000</v>
      </c>
      <c r="P103" s="265">
        <f t="shared" si="66"/>
        <v>30000000</v>
      </c>
      <c r="Q103" s="233">
        <f t="shared" si="67"/>
        <v>548000000</v>
      </c>
      <c r="R103" s="659">
        <f t="shared" si="68"/>
        <v>466000000</v>
      </c>
      <c r="S103" s="665">
        <f t="shared" si="85"/>
        <v>82000000</v>
      </c>
      <c r="T103" s="266">
        <f t="shared" si="69"/>
        <v>112000000</v>
      </c>
      <c r="U103" s="124">
        <f t="shared" si="70"/>
        <v>7.2249999999999996</v>
      </c>
      <c r="V103" s="124">
        <f t="shared" si="71"/>
        <v>0.69451425890553264</v>
      </c>
      <c r="X103" s="379">
        <f t="shared" si="72"/>
        <v>829000000</v>
      </c>
      <c r="Z103" s="19">
        <v>5000000</v>
      </c>
      <c r="AA103" s="236">
        <f t="shared" si="88"/>
        <v>-220000000</v>
      </c>
      <c r="AB103" s="237">
        <f t="shared" si="73"/>
        <v>614000000</v>
      </c>
      <c r="AD103" s="238">
        <f t="shared" si="51"/>
        <v>236000000</v>
      </c>
      <c r="AE103" s="238">
        <f t="shared" si="74"/>
        <v>378000000</v>
      </c>
      <c r="AF103" s="17"/>
      <c r="AG103" s="239">
        <f t="shared" si="52"/>
        <v>131555555.55555555</v>
      </c>
      <c r="AH103" s="262">
        <f t="shared" si="75"/>
        <v>36835555.555555552</v>
      </c>
      <c r="AI103" s="240">
        <f t="shared" si="76"/>
        <v>47360000</v>
      </c>
      <c r="AJ103" s="241">
        <f t="shared" si="77"/>
        <v>47360000</v>
      </c>
      <c r="AL103" s="239">
        <f t="shared" si="89"/>
        <v>246444444.44444445</v>
      </c>
      <c r="AM103" s="17">
        <f t="shared" si="53"/>
        <v>125686666.66666667</v>
      </c>
      <c r="AN103" s="17">
        <f t="shared" si="78"/>
        <v>60378888.888888888</v>
      </c>
      <c r="AO103" s="233">
        <f t="shared" si="79"/>
        <v>60378888.888888888</v>
      </c>
      <c r="AQ103" s="242">
        <f t="shared" si="54"/>
        <v>398522222.22222227</v>
      </c>
      <c r="AR103" s="17">
        <f t="shared" si="50"/>
        <v>107738888.8888889</v>
      </c>
      <c r="AS103" s="233">
        <f t="shared" si="50"/>
        <v>107738888.8888889</v>
      </c>
      <c r="AU103" s="260">
        <f t="shared" si="90"/>
        <v>0.13509227871939739</v>
      </c>
      <c r="AW103" s="244">
        <f t="shared" si="55"/>
        <v>0.2324074074074074</v>
      </c>
      <c r="AY103" s="238">
        <f t="shared" si="86"/>
        <v>-358261111.1111111</v>
      </c>
      <c r="BA103" s="19">
        <f t="shared" si="80"/>
        <v>112000000</v>
      </c>
      <c r="BB103" s="19">
        <f t="shared" si="81"/>
        <v>72800000</v>
      </c>
      <c r="BC103" s="19">
        <f t="shared" si="56"/>
        <v>12880000</v>
      </c>
      <c r="BD103" s="19">
        <f t="shared" si="57"/>
        <v>560000</v>
      </c>
      <c r="BE103" s="19">
        <f t="shared" si="82"/>
        <v>25760000</v>
      </c>
    </row>
    <row r="104" spans="1:57">
      <c r="A104" s="81" t="s">
        <v>370</v>
      </c>
      <c r="B104" s="1">
        <v>2105</v>
      </c>
      <c r="C104" s="263">
        <v>4.0000000000000001E-3</v>
      </c>
      <c r="D104" s="264">
        <f t="shared" si="47"/>
        <v>856000000</v>
      </c>
      <c r="E104" s="344">
        <f t="shared" si="58"/>
        <v>1198400000</v>
      </c>
      <c r="F104" s="676">
        <f t="shared" si="83"/>
        <v>80000000</v>
      </c>
      <c r="G104" s="16">
        <f t="shared" si="84"/>
        <v>984399999.99999988</v>
      </c>
      <c r="H104" s="19">
        <f t="shared" si="87"/>
        <v>708767999.99999988</v>
      </c>
      <c r="I104" s="16">
        <f t="shared" si="59"/>
        <v>214000000.00000012</v>
      </c>
      <c r="J104" s="19">
        <f t="shared" si="60"/>
        <v>123264000.00000006</v>
      </c>
      <c r="K104" s="16">
        <f t="shared" si="61"/>
        <v>0</v>
      </c>
      <c r="L104" s="25">
        <f t="shared" si="62"/>
        <v>0</v>
      </c>
      <c r="M104" s="229">
        <f t="shared" si="63"/>
        <v>832000000</v>
      </c>
      <c r="N104" s="230">
        <f t="shared" si="64"/>
        <v>252000000</v>
      </c>
      <c r="O104" s="231">
        <f t="shared" si="65"/>
        <v>580000000</v>
      </c>
      <c r="P104" s="265">
        <f t="shared" si="66"/>
        <v>30000000</v>
      </c>
      <c r="Q104" s="233">
        <f t="shared" si="67"/>
        <v>550000000</v>
      </c>
      <c r="R104" s="659">
        <f t="shared" si="68"/>
        <v>468000000</v>
      </c>
      <c r="S104" s="665">
        <f t="shared" si="85"/>
        <v>83000000</v>
      </c>
      <c r="T104" s="266">
        <f t="shared" si="69"/>
        <v>113000000</v>
      </c>
      <c r="U104" s="124">
        <f t="shared" si="70"/>
        <v>7.25</v>
      </c>
      <c r="V104" s="124">
        <f t="shared" si="71"/>
        <v>0.69425901201602136</v>
      </c>
      <c r="X104" s="379">
        <f t="shared" si="72"/>
        <v>832000000</v>
      </c>
      <c r="Z104" s="19">
        <v>5000000</v>
      </c>
      <c r="AA104" s="236">
        <f t="shared" si="88"/>
        <v>-220000000</v>
      </c>
      <c r="AB104" s="237">
        <f t="shared" si="73"/>
        <v>617000000</v>
      </c>
      <c r="AD104" s="238">
        <f t="shared" si="51"/>
        <v>236000000</v>
      </c>
      <c r="AE104" s="238">
        <f t="shared" si="74"/>
        <v>381000000</v>
      </c>
      <c r="AF104" s="17"/>
      <c r="AG104" s="239">
        <f t="shared" si="52"/>
        <v>131555555.55555555</v>
      </c>
      <c r="AH104" s="262">
        <f t="shared" si="75"/>
        <v>36835555.555555552</v>
      </c>
      <c r="AI104" s="240">
        <f t="shared" si="76"/>
        <v>47360000</v>
      </c>
      <c r="AJ104" s="241">
        <f t="shared" si="77"/>
        <v>47360000</v>
      </c>
      <c r="AL104" s="239">
        <f t="shared" si="89"/>
        <v>249444444.44444445</v>
      </c>
      <c r="AM104" s="17">
        <f t="shared" si="53"/>
        <v>127216666.66666667</v>
      </c>
      <c r="AN104" s="17">
        <f t="shared" si="78"/>
        <v>61113888.888888888</v>
      </c>
      <c r="AO104" s="233">
        <f t="shared" si="79"/>
        <v>61113888.888888888</v>
      </c>
      <c r="AQ104" s="242">
        <f t="shared" si="54"/>
        <v>400052222.22222227</v>
      </c>
      <c r="AR104" s="17">
        <f t="shared" si="50"/>
        <v>108473888.8888889</v>
      </c>
      <c r="AS104" s="233">
        <f t="shared" si="50"/>
        <v>108473888.8888889</v>
      </c>
      <c r="AU104" s="260">
        <f t="shared" si="90"/>
        <v>0.135610922787194</v>
      </c>
      <c r="AW104" s="244">
        <f t="shared" si="55"/>
        <v>0.23247232472324722</v>
      </c>
      <c r="AY104" s="238">
        <f t="shared" si="86"/>
        <v>-359526111.1111111</v>
      </c>
      <c r="BA104" s="19">
        <f t="shared" si="80"/>
        <v>113000000</v>
      </c>
      <c r="BB104" s="19">
        <f t="shared" si="81"/>
        <v>73450000</v>
      </c>
      <c r="BC104" s="19">
        <f t="shared" si="56"/>
        <v>12995000</v>
      </c>
      <c r="BD104" s="19">
        <f t="shared" si="57"/>
        <v>565000</v>
      </c>
      <c r="BE104" s="19">
        <f t="shared" si="82"/>
        <v>25990000</v>
      </c>
    </row>
    <row r="105" spans="1:57">
      <c r="A105" s="81" t="s">
        <v>371</v>
      </c>
      <c r="B105" s="1">
        <v>2106</v>
      </c>
      <c r="C105" s="263">
        <v>4.0000000000000001E-3</v>
      </c>
      <c r="D105" s="264">
        <f t="shared" si="47"/>
        <v>859400000</v>
      </c>
      <c r="E105" s="344">
        <f t="shared" si="58"/>
        <v>1203160000</v>
      </c>
      <c r="F105" s="676">
        <f t="shared" si="83"/>
        <v>80000000</v>
      </c>
      <c r="G105" s="16">
        <f t="shared" si="84"/>
        <v>988309999.99999988</v>
      </c>
      <c r="H105" s="19">
        <f t="shared" si="87"/>
        <v>711583199.99999988</v>
      </c>
      <c r="I105" s="16">
        <f t="shared" si="59"/>
        <v>214850000.00000012</v>
      </c>
      <c r="J105" s="19">
        <f t="shared" si="60"/>
        <v>123753600.00000006</v>
      </c>
      <c r="K105" s="16">
        <f t="shared" si="61"/>
        <v>0</v>
      </c>
      <c r="L105" s="25">
        <f t="shared" si="62"/>
        <v>0</v>
      </c>
      <c r="M105" s="229">
        <f t="shared" si="63"/>
        <v>835000000</v>
      </c>
      <c r="N105" s="230">
        <f t="shared" si="64"/>
        <v>253000000</v>
      </c>
      <c r="O105" s="231">
        <f t="shared" si="65"/>
        <v>582000000</v>
      </c>
      <c r="P105" s="265">
        <f t="shared" si="66"/>
        <v>30000000</v>
      </c>
      <c r="Q105" s="233">
        <f t="shared" si="67"/>
        <v>552000000</v>
      </c>
      <c r="R105" s="659">
        <f t="shared" si="68"/>
        <v>469000000</v>
      </c>
      <c r="S105" s="665">
        <f t="shared" si="85"/>
        <v>83000000</v>
      </c>
      <c r="T105" s="266">
        <f t="shared" si="69"/>
        <v>113000000</v>
      </c>
      <c r="U105" s="124">
        <f t="shared" si="70"/>
        <v>7.2750000000000004</v>
      </c>
      <c r="V105" s="124">
        <f t="shared" si="71"/>
        <v>0.69400578476678076</v>
      </c>
      <c r="X105" s="379">
        <f t="shared" si="72"/>
        <v>835000000</v>
      </c>
      <c r="Z105" s="19">
        <v>5000000</v>
      </c>
      <c r="AA105" s="236">
        <f t="shared" si="88"/>
        <v>-220000000</v>
      </c>
      <c r="AB105" s="237">
        <f t="shared" si="73"/>
        <v>620000000</v>
      </c>
      <c r="AD105" s="238">
        <f t="shared" si="51"/>
        <v>236000000</v>
      </c>
      <c r="AE105" s="238">
        <f t="shared" si="74"/>
        <v>384000000</v>
      </c>
      <c r="AF105" s="17"/>
      <c r="AG105" s="239">
        <f t="shared" si="52"/>
        <v>131555555.55555555</v>
      </c>
      <c r="AH105" s="262">
        <f t="shared" si="75"/>
        <v>36835555.555555552</v>
      </c>
      <c r="AI105" s="240">
        <f t="shared" si="76"/>
        <v>47360000</v>
      </c>
      <c r="AJ105" s="241">
        <f t="shared" si="77"/>
        <v>47360000</v>
      </c>
      <c r="AL105" s="239">
        <f t="shared" si="89"/>
        <v>252444444.44444445</v>
      </c>
      <c r="AM105" s="17">
        <f t="shared" si="53"/>
        <v>128746666.66666667</v>
      </c>
      <c r="AN105" s="17">
        <f t="shared" si="78"/>
        <v>61848888.888888888</v>
      </c>
      <c r="AO105" s="233">
        <f t="shared" si="79"/>
        <v>61848888.888888888</v>
      </c>
      <c r="AQ105" s="242">
        <f t="shared" si="54"/>
        <v>401582222.22222227</v>
      </c>
      <c r="AR105" s="17">
        <f t="shared" si="50"/>
        <v>109208888.8888889</v>
      </c>
      <c r="AS105" s="233">
        <f t="shared" si="50"/>
        <v>109208888.8888889</v>
      </c>
      <c r="AU105" s="260">
        <f t="shared" si="90"/>
        <v>0.13612956685499059</v>
      </c>
      <c r="AW105" s="244">
        <f t="shared" si="55"/>
        <v>0.23253676470588236</v>
      </c>
      <c r="AY105" s="238">
        <f t="shared" si="86"/>
        <v>-359791111.1111111</v>
      </c>
      <c r="BA105" s="19">
        <f t="shared" si="80"/>
        <v>113000000</v>
      </c>
      <c r="BB105" s="19">
        <f t="shared" si="81"/>
        <v>73450000</v>
      </c>
      <c r="BC105" s="19">
        <f t="shared" si="56"/>
        <v>12995000</v>
      </c>
      <c r="BD105" s="19">
        <f t="shared" si="57"/>
        <v>565000</v>
      </c>
      <c r="BE105" s="19">
        <f t="shared" si="82"/>
        <v>25990000</v>
      </c>
    </row>
    <row r="106" spans="1:57">
      <c r="A106" s="81" t="s">
        <v>372</v>
      </c>
      <c r="B106" s="1">
        <v>2107</v>
      </c>
      <c r="C106" s="263">
        <v>4.0000000000000001E-3</v>
      </c>
      <c r="D106" s="264">
        <f t="shared" si="47"/>
        <v>862800000</v>
      </c>
      <c r="E106" s="344">
        <f t="shared" si="58"/>
        <v>1207920000</v>
      </c>
      <c r="F106" s="676">
        <f t="shared" si="83"/>
        <v>81000000</v>
      </c>
      <c r="G106" s="16">
        <f t="shared" si="84"/>
        <v>992219999.99999988</v>
      </c>
      <c r="H106" s="19">
        <f t="shared" si="87"/>
        <v>714398399.99999988</v>
      </c>
      <c r="I106" s="16">
        <f t="shared" si="59"/>
        <v>215700000.00000012</v>
      </c>
      <c r="J106" s="19">
        <f t="shared" si="60"/>
        <v>124243200.00000006</v>
      </c>
      <c r="K106" s="16">
        <f t="shared" si="61"/>
        <v>0</v>
      </c>
      <c r="L106" s="25">
        <f t="shared" si="62"/>
        <v>0</v>
      </c>
      <c r="M106" s="229">
        <f t="shared" si="63"/>
        <v>839000000</v>
      </c>
      <c r="N106" s="230">
        <f t="shared" si="64"/>
        <v>254000000</v>
      </c>
      <c r="O106" s="231">
        <f t="shared" si="65"/>
        <v>585000000</v>
      </c>
      <c r="P106" s="265">
        <f t="shared" si="66"/>
        <v>30000000</v>
      </c>
      <c r="Q106" s="233">
        <f t="shared" si="67"/>
        <v>555000000</v>
      </c>
      <c r="R106" s="659">
        <f t="shared" si="68"/>
        <v>472000000</v>
      </c>
      <c r="S106" s="665">
        <f t="shared" si="85"/>
        <v>83000000</v>
      </c>
      <c r="T106" s="266">
        <f t="shared" si="69"/>
        <v>113000000</v>
      </c>
      <c r="U106" s="124">
        <f t="shared" si="70"/>
        <v>7.2222222222222223</v>
      </c>
      <c r="V106" s="124">
        <f t="shared" si="71"/>
        <v>0.69458242267699843</v>
      </c>
      <c r="X106" s="379">
        <f t="shared" si="72"/>
        <v>839000000</v>
      </c>
      <c r="Z106" s="19">
        <v>5000000</v>
      </c>
      <c r="AA106" s="236">
        <f t="shared" si="88"/>
        <v>-220000000</v>
      </c>
      <c r="AB106" s="237">
        <f t="shared" si="73"/>
        <v>624000000</v>
      </c>
      <c r="AD106" s="238">
        <f t="shared" si="51"/>
        <v>236000000</v>
      </c>
      <c r="AE106" s="238">
        <f t="shared" si="74"/>
        <v>388000000</v>
      </c>
      <c r="AF106" s="17"/>
      <c r="AG106" s="239">
        <f t="shared" si="52"/>
        <v>131555555.55555555</v>
      </c>
      <c r="AH106" s="262">
        <f t="shared" si="75"/>
        <v>36835555.555555552</v>
      </c>
      <c r="AI106" s="240">
        <f t="shared" si="76"/>
        <v>47360000</v>
      </c>
      <c r="AJ106" s="241">
        <f t="shared" si="77"/>
        <v>47360000</v>
      </c>
      <c r="AL106" s="239">
        <f t="shared" si="89"/>
        <v>256444444.44444445</v>
      </c>
      <c r="AM106" s="17">
        <f t="shared" si="53"/>
        <v>130786666.66666667</v>
      </c>
      <c r="AN106" s="17">
        <f t="shared" si="78"/>
        <v>62828888.888888888</v>
      </c>
      <c r="AO106" s="233">
        <f t="shared" si="79"/>
        <v>62828888.888888888</v>
      </c>
      <c r="AQ106" s="242">
        <f t="shared" si="54"/>
        <v>403622222.22222227</v>
      </c>
      <c r="AR106" s="17">
        <f t="shared" si="50"/>
        <v>110188888.8888889</v>
      </c>
      <c r="AS106" s="233">
        <f t="shared" si="50"/>
        <v>110188888.8888889</v>
      </c>
      <c r="AU106" s="260">
        <f t="shared" si="90"/>
        <v>0.13682109227871941</v>
      </c>
      <c r="AW106" s="244">
        <f t="shared" si="55"/>
        <v>0.232387923147301</v>
      </c>
      <c r="AY106" s="238">
        <f t="shared" si="86"/>
        <v>-361811111.1111111</v>
      </c>
      <c r="BA106" s="19">
        <f t="shared" si="80"/>
        <v>113000000</v>
      </c>
      <c r="BB106" s="19">
        <f t="shared" si="81"/>
        <v>73450000</v>
      </c>
      <c r="BC106" s="19">
        <f t="shared" si="56"/>
        <v>12995000</v>
      </c>
      <c r="BD106" s="19">
        <f t="shared" si="57"/>
        <v>565000</v>
      </c>
      <c r="BE106" s="19">
        <f t="shared" si="82"/>
        <v>25990000</v>
      </c>
    </row>
    <row r="107" spans="1:57">
      <c r="A107" s="81" t="s">
        <v>373</v>
      </c>
      <c r="B107" s="1">
        <v>2108</v>
      </c>
      <c r="C107" s="263">
        <v>4.0000000000000001E-3</v>
      </c>
      <c r="D107" s="264">
        <f t="shared" si="47"/>
        <v>866300000</v>
      </c>
      <c r="E107" s="344">
        <f t="shared" si="58"/>
        <v>1212820000</v>
      </c>
      <c r="F107" s="676">
        <f t="shared" si="83"/>
        <v>81000000</v>
      </c>
      <c r="G107" s="16">
        <f t="shared" si="84"/>
        <v>996244999.99999988</v>
      </c>
      <c r="H107" s="19">
        <f t="shared" si="87"/>
        <v>717296399.99999988</v>
      </c>
      <c r="I107" s="16">
        <f t="shared" si="59"/>
        <v>216575000.00000012</v>
      </c>
      <c r="J107" s="19">
        <f t="shared" si="60"/>
        <v>124747200.00000006</v>
      </c>
      <c r="K107" s="16">
        <f t="shared" si="61"/>
        <v>0</v>
      </c>
      <c r="L107" s="25">
        <f t="shared" si="62"/>
        <v>0</v>
      </c>
      <c r="M107" s="229">
        <f t="shared" si="63"/>
        <v>842000000</v>
      </c>
      <c r="N107" s="230">
        <f t="shared" si="64"/>
        <v>255000000</v>
      </c>
      <c r="O107" s="231">
        <f t="shared" si="65"/>
        <v>587000000</v>
      </c>
      <c r="P107" s="265">
        <f t="shared" si="66"/>
        <v>30000000</v>
      </c>
      <c r="Q107" s="233">
        <f t="shared" si="67"/>
        <v>557000000</v>
      </c>
      <c r="R107" s="659">
        <f t="shared" si="68"/>
        <v>473000000</v>
      </c>
      <c r="S107" s="665">
        <f t="shared" si="85"/>
        <v>84000000</v>
      </c>
      <c r="T107" s="266">
        <f t="shared" si="69"/>
        <v>114000000</v>
      </c>
      <c r="U107" s="124">
        <f t="shared" si="70"/>
        <v>7.2469135802469138</v>
      </c>
      <c r="V107" s="124">
        <f t="shared" si="71"/>
        <v>0.69424976501047142</v>
      </c>
      <c r="X107" s="379">
        <f t="shared" si="72"/>
        <v>842000000</v>
      </c>
      <c r="Z107" s="19">
        <v>5000000</v>
      </c>
      <c r="AA107" s="236">
        <f t="shared" si="88"/>
        <v>-220000000</v>
      </c>
      <c r="AB107" s="237">
        <f t="shared" si="73"/>
        <v>627000000</v>
      </c>
      <c r="AD107" s="238">
        <f t="shared" si="51"/>
        <v>236000000</v>
      </c>
      <c r="AE107" s="238">
        <f t="shared" si="74"/>
        <v>391000000</v>
      </c>
      <c r="AF107" s="17"/>
      <c r="AG107" s="239">
        <f t="shared" si="52"/>
        <v>131555555.55555555</v>
      </c>
      <c r="AH107" s="262">
        <f t="shared" si="75"/>
        <v>36835555.555555552</v>
      </c>
      <c r="AI107" s="240">
        <f t="shared" si="76"/>
        <v>47360000</v>
      </c>
      <c r="AJ107" s="241">
        <f t="shared" si="77"/>
        <v>47360000</v>
      </c>
      <c r="AL107" s="239">
        <f t="shared" si="89"/>
        <v>259444444.44444445</v>
      </c>
      <c r="AM107" s="17">
        <f t="shared" si="53"/>
        <v>132316666.66666667</v>
      </c>
      <c r="AN107" s="17">
        <f t="shared" si="78"/>
        <v>63563888.888888888</v>
      </c>
      <c r="AO107" s="233">
        <f t="shared" si="79"/>
        <v>63563888.888888888</v>
      </c>
      <c r="AQ107" s="242">
        <f t="shared" si="54"/>
        <v>405152222.22222227</v>
      </c>
      <c r="AR107" s="17">
        <f t="shared" si="50"/>
        <v>110923888.8888889</v>
      </c>
      <c r="AS107" s="233">
        <f t="shared" si="50"/>
        <v>110923888.8888889</v>
      </c>
      <c r="AU107" s="260">
        <f t="shared" si="90"/>
        <v>0.13733973634651603</v>
      </c>
      <c r="AW107" s="244">
        <f t="shared" si="55"/>
        <v>0.2324521422060164</v>
      </c>
      <c r="AY107" s="238">
        <f t="shared" si="86"/>
        <v>-362076111.1111111</v>
      </c>
      <c r="BA107" s="19">
        <f t="shared" si="80"/>
        <v>114000000</v>
      </c>
      <c r="BB107" s="19">
        <f t="shared" si="81"/>
        <v>74100000</v>
      </c>
      <c r="BC107" s="19">
        <f t="shared" si="56"/>
        <v>13110000</v>
      </c>
      <c r="BD107" s="19">
        <f t="shared" si="57"/>
        <v>570000</v>
      </c>
      <c r="BE107" s="19">
        <f t="shared" si="82"/>
        <v>26220000</v>
      </c>
    </row>
    <row r="108" spans="1:57">
      <c r="A108" s="81" t="s">
        <v>374</v>
      </c>
      <c r="B108" s="1">
        <v>2109</v>
      </c>
      <c r="C108" s="263">
        <v>4.0000000000000001E-3</v>
      </c>
      <c r="D108" s="264">
        <f t="shared" si="47"/>
        <v>869800000</v>
      </c>
      <c r="E108" s="344">
        <f t="shared" si="58"/>
        <v>1217720000</v>
      </c>
      <c r="F108" s="676">
        <f t="shared" si="83"/>
        <v>81000000</v>
      </c>
      <c r="G108" s="16">
        <f t="shared" si="84"/>
        <v>1000269999.9999999</v>
      </c>
      <c r="H108" s="19">
        <f t="shared" si="87"/>
        <v>720194399.99999988</v>
      </c>
      <c r="I108" s="16">
        <f t="shared" si="59"/>
        <v>217450000.00000012</v>
      </c>
      <c r="J108" s="19">
        <f t="shared" si="60"/>
        <v>125251200.00000006</v>
      </c>
      <c r="K108" s="16">
        <f t="shared" si="61"/>
        <v>0</v>
      </c>
      <c r="L108" s="25">
        <f t="shared" si="62"/>
        <v>0</v>
      </c>
      <c r="M108" s="229">
        <f t="shared" si="63"/>
        <v>845000000</v>
      </c>
      <c r="N108" s="230">
        <f t="shared" si="64"/>
        <v>256000000</v>
      </c>
      <c r="O108" s="231">
        <f t="shared" si="65"/>
        <v>589000000</v>
      </c>
      <c r="P108" s="265">
        <f t="shared" si="66"/>
        <v>30000000</v>
      </c>
      <c r="Q108" s="233">
        <f t="shared" si="67"/>
        <v>559000000</v>
      </c>
      <c r="R108" s="659">
        <f t="shared" si="68"/>
        <v>475000000</v>
      </c>
      <c r="S108" s="665">
        <f t="shared" si="85"/>
        <v>84000000</v>
      </c>
      <c r="T108" s="266">
        <f t="shared" si="69"/>
        <v>114000000</v>
      </c>
      <c r="U108" s="124">
        <f t="shared" si="70"/>
        <v>7.2716049382716053</v>
      </c>
      <c r="V108" s="124">
        <f t="shared" si="71"/>
        <v>0.69391978451532377</v>
      </c>
      <c r="X108" s="379">
        <f t="shared" si="72"/>
        <v>845000000</v>
      </c>
      <c r="Z108" s="19">
        <v>5000000</v>
      </c>
      <c r="AA108" s="236">
        <f t="shared" si="88"/>
        <v>-220000000</v>
      </c>
      <c r="AB108" s="237">
        <f>X108+Y108+Z108+AA108</f>
        <v>630000000</v>
      </c>
      <c r="AD108" s="238">
        <f t="shared" si="51"/>
        <v>236000000</v>
      </c>
      <c r="AE108" s="238">
        <f t="shared" si="74"/>
        <v>394000000</v>
      </c>
      <c r="AF108" s="17"/>
      <c r="AG108" s="239">
        <f t="shared" si="52"/>
        <v>131555555.55555555</v>
      </c>
      <c r="AH108" s="262">
        <f t="shared" si="75"/>
        <v>36835555.555555552</v>
      </c>
      <c r="AI108" s="240">
        <f t="shared" si="76"/>
        <v>47360000</v>
      </c>
      <c r="AJ108" s="241">
        <f t="shared" si="77"/>
        <v>47360000</v>
      </c>
      <c r="AL108" s="239">
        <f t="shared" si="89"/>
        <v>262444444.44444445</v>
      </c>
      <c r="AM108" s="17">
        <f t="shared" si="53"/>
        <v>133846666.66666667</v>
      </c>
      <c r="AN108" s="17">
        <f t="shared" si="78"/>
        <v>64298888.888888888</v>
      </c>
      <c r="AO108" s="233">
        <f t="shared" si="79"/>
        <v>64298888.888888888</v>
      </c>
      <c r="AQ108" s="242">
        <f t="shared" si="54"/>
        <v>406682222.22222227</v>
      </c>
      <c r="AR108" s="17">
        <f t="shared" si="50"/>
        <v>111658888.8888889</v>
      </c>
      <c r="AS108" s="233">
        <f t="shared" si="50"/>
        <v>111658888.8888889</v>
      </c>
      <c r="AU108" s="260">
        <f t="shared" si="90"/>
        <v>0.13785838041431264</v>
      </c>
      <c r="AW108" s="244">
        <f t="shared" si="55"/>
        <v>0.23251589464123523</v>
      </c>
      <c r="AY108" s="238">
        <f t="shared" si="86"/>
        <v>-363341111.1111111</v>
      </c>
      <c r="BA108" s="19">
        <f t="shared" si="80"/>
        <v>114000000</v>
      </c>
      <c r="BB108" s="19">
        <f t="shared" si="81"/>
        <v>74100000</v>
      </c>
      <c r="BC108" s="19">
        <f t="shared" si="56"/>
        <v>13110000</v>
      </c>
      <c r="BD108" s="19">
        <f t="shared" si="57"/>
        <v>570000</v>
      </c>
      <c r="BE108" s="19">
        <f t="shared" si="82"/>
        <v>26220000</v>
      </c>
    </row>
    <row r="109" spans="1:57">
      <c r="A109" s="81" t="s">
        <v>395</v>
      </c>
      <c r="B109" s="1">
        <v>2110</v>
      </c>
      <c r="C109" s="263">
        <v>4.0000000000000001E-3</v>
      </c>
      <c r="D109" s="264">
        <f t="shared" si="47"/>
        <v>873300000</v>
      </c>
      <c r="E109" s="344">
        <f t="shared" si="58"/>
        <v>1222620000</v>
      </c>
      <c r="F109" s="676">
        <f t="shared" si="83"/>
        <v>82000000</v>
      </c>
      <c r="G109" s="267">
        <f t="shared" ref="G109:I109" si="91">G108</f>
        <v>1000269999.9999999</v>
      </c>
      <c r="H109" s="267">
        <f t="shared" si="91"/>
        <v>720194399.99999988</v>
      </c>
      <c r="I109" s="267">
        <f t="shared" si="91"/>
        <v>217450000.00000012</v>
      </c>
      <c r="J109" s="19">
        <f t="shared" si="60"/>
        <v>125251200.00000006</v>
      </c>
      <c r="K109" s="16">
        <f t="shared" si="61"/>
        <v>0</v>
      </c>
      <c r="L109" s="25">
        <f t="shared" si="62"/>
        <v>0</v>
      </c>
      <c r="M109" s="229">
        <f t="shared" si="63"/>
        <v>845000000</v>
      </c>
      <c r="N109" s="230">
        <f t="shared" si="64"/>
        <v>257000000</v>
      </c>
      <c r="O109" s="231">
        <f t="shared" si="65"/>
        <v>588000000</v>
      </c>
      <c r="P109" s="265">
        <f t="shared" si="66"/>
        <v>30000000</v>
      </c>
      <c r="Q109" s="233">
        <f t="shared" si="67"/>
        <v>558000000</v>
      </c>
      <c r="R109" s="659">
        <f t="shared" si="68"/>
        <v>474000000</v>
      </c>
      <c r="S109" s="665">
        <f t="shared" si="85"/>
        <v>84000000</v>
      </c>
      <c r="T109" s="266">
        <f t="shared" si="69"/>
        <v>114000000</v>
      </c>
      <c r="U109" s="124">
        <f t="shared" si="70"/>
        <v>7.1707317073170733</v>
      </c>
      <c r="V109" s="124">
        <f t="shared" si="71"/>
        <v>0.69113870213148809</v>
      </c>
      <c r="X109" s="379">
        <f t="shared" si="72"/>
        <v>845000000</v>
      </c>
      <c r="Z109" s="19">
        <v>5000000</v>
      </c>
      <c r="AA109" s="236">
        <f t="shared" si="88"/>
        <v>-220000000</v>
      </c>
      <c r="AB109" s="237">
        <f t="shared" si="73"/>
        <v>630000000</v>
      </c>
      <c r="AD109" s="238">
        <f t="shared" si="51"/>
        <v>236000000</v>
      </c>
      <c r="AE109" s="238">
        <f t="shared" si="74"/>
        <v>394000000</v>
      </c>
      <c r="AF109" s="17"/>
      <c r="AG109" s="239">
        <f t="shared" si="52"/>
        <v>131555555.55555555</v>
      </c>
      <c r="AH109" s="262">
        <f t="shared" si="75"/>
        <v>36835555.555555552</v>
      </c>
      <c r="AI109" s="240">
        <f t="shared" si="76"/>
        <v>47360000</v>
      </c>
      <c r="AJ109" s="241">
        <f t="shared" si="77"/>
        <v>47360000</v>
      </c>
      <c r="AL109" s="239">
        <f t="shared" si="89"/>
        <v>262444444.44444445</v>
      </c>
      <c r="AM109" s="17">
        <f t="shared" si="53"/>
        <v>133846666.66666667</v>
      </c>
      <c r="AN109" s="17">
        <f t="shared" si="78"/>
        <v>64298888.888888888</v>
      </c>
      <c r="AO109" s="233">
        <f t="shared" si="79"/>
        <v>64298888.888888888</v>
      </c>
      <c r="AQ109" s="242">
        <f t="shared" si="54"/>
        <v>406682222.22222227</v>
      </c>
      <c r="AR109" s="17">
        <f t="shared" si="50"/>
        <v>111658888.8888889</v>
      </c>
      <c r="AS109" s="233">
        <f t="shared" si="50"/>
        <v>111658888.8888889</v>
      </c>
      <c r="AU109" s="260">
        <f t="shared" si="90"/>
        <v>0.13785838041431264</v>
      </c>
      <c r="AW109" s="244">
        <f t="shared" si="55"/>
        <v>0.23321234119782214</v>
      </c>
      <c r="AY109" s="238">
        <f t="shared" si="86"/>
        <v>-362341111.1111111</v>
      </c>
      <c r="BA109" s="19">
        <f t="shared" si="80"/>
        <v>114000000</v>
      </c>
      <c r="BB109" s="19">
        <f t="shared" si="81"/>
        <v>74100000</v>
      </c>
      <c r="BC109" s="19">
        <f t="shared" si="56"/>
        <v>13110000</v>
      </c>
      <c r="BD109" s="19">
        <f t="shared" si="57"/>
        <v>570000</v>
      </c>
      <c r="BE109" s="19">
        <f t="shared" si="82"/>
        <v>26220000</v>
      </c>
    </row>
    <row r="110" spans="1:57">
      <c r="A110" s="81" t="s">
        <v>396</v>
      </c>
      <c r="B110" s="1">
        <v>2111</v>
      </c>
      <c r="C110" s="263">
        <v>4.0000000000000001E-3</v>
      </c>
      <c r="D110" s="264">
        <f t="shared" si="47"/>
        <v>876800000</v>
      </c>
      <c r="E110" s="344">
        <f t="shared" si="58"/>
        <v>1227520000</v>
      </c>
      <c r="F110" s="676">
        <f t="shared" si="83"/>
        <v>82000000</v>
      </c>
      <c r="G110" s="16">
        <f t="shared" si="84"/>
        <v>1008319999.9999999</v>
      </c>
      <c r="H110" s="19">
        <f t="shared" si="87"/>
        <v>725990399.99999988</v>
      </c>
      <c r="I110" s="16">
        <f t="shared" si="59"/>
        <v>219200000.00000012</v>
      </c>
      <c r="J110" s="19">
        <f t="shared" si="60"/>
        <v>126259200.00000006</v>
      </c>
      <c r="K110" s="16">
        <f t="shared" si="61"/>
        <v>0</v>
      </c>
      <c r="L110" s="25">
        <f t="shared" si="62"/>
        <v>0</v>
      </c>
      <c r="M110" s="229">
        <f t="shared" si="63"/>
        <v>852000000</v>
      </c>
      <c r="N110" s="230">
        <f t="shared" si="64"/>
        <v>258000000</v>
      </c>
      <c r="O110" s="231">
        <f t="shared" si="65"/>
        <v>594000000</v>
      </c>
      <c r="P110" s="265">
        <f t="shared" si="66"/>
        <v>30000000</v>
      </c>
      <c r="Q110" s="233">
        <f t="shared" si="67"/>
        <v>564000000</v>
      </c>
      <c r="R110" s="659">
        <f t="shared" si="68"/>
        <v>479000000</v>
      </c>
      <c r="S110" s="665">
        <f t="shared" si="85"/>
        <v>85000000</v>
      </c>
      <c r="T110" s="266">
        <f t="shared" si="69"/>
        <v>115000000</v>
      </c>
      <c r="U110" s="124">
        <f t="shared" si="70"/>
        <v>7.2439024390243905</v>
      </c>
      <c r="V110" s="124">
        <f>M110/E110</f>
        <v>0.69408237747653811</v>
      </c>
      <c r="X110" s="379">
        <f t="shared" si="72"/>
        <v>852000000</v>
      </c>
      <c r="Z110" s="19">
        <v>5000000</v>
      </c>
      <c r="AA110" s="236">
        <f t="shared" si="88"/>
        <v>-220000000</v>
      </c>
      <c r="AB110" s="237">
        <f t="shared" si="73"/>
        <v>637000000</v>
      </c>
      <c r="AD110" s="238">
        <f t="shared" si="51"/>
        <v>236000000</v>
      </c>
      <c r="AE110" s="238">
        <f t="shared" si="74"/>
        <v>401000000</v>
      </c>
      <c r="AF110" s="17"/>
      <c r="AG110" s="239">
        <f t="shared" si="52"/>
        <v>131555555.55555555</v>
      </c>
      <c r="AH110" s="262">
        <f t="shared" si="75"/>
        <v>36835555.555555552</v>
      </c>
      <c r="AI110" s="240">
        <f t="shared" si="76"/>
        <v>47360000</v>
      </c>
      <c r="AJ110" s="241">
        <f t="shared" si="77"/>
        <v>47360000</v>
      </c>
      <c r="AL110" s="239">
        <f t="shared" si="89"/>
        <v>269444444.44444442</v>
      </c>
      <c r="AM110" s="17">
        <f t="shared" si="53"/>
        <v>137416666.66666666</v>
      </c>
      <c r="AN110" s="17">
        <f t="shared" si="78"/>
        <v>66013888.888888881</v>
      </c>
      <c r="AO110" s="233">
        <f t="shared" si="79"/>
        <v>66013888.888888881</v>
      </c>
      <c r="AQ110" s="242">
        <f t="shared" si="54"/>
        <v>410252222.22222221</v>
      </c>
      <c r="AR110" s="17">
        <f t="shared" si="50"/>
        <v>113373888.88888888</v>
      </c>
      <c r="AS110" s="233">
        <f t="shared" si="50"/>
        <v>113373888.88888888</v>
      </c>
      <c r="AU110" s="260">
        <f t="shared" si="90"/>
        <v>0.13906854990583803</v>
      </c>
      <c r="AW110" s="244">
        <f t="shared" si="55"/>
        <v>0.23243243243243245</v>
      </c>
      <c r="AY110" s="238">
        <f t="shared" si="86"/>
        <v>-365626111.1111111</v>
      </c>
      <c r="BA110" s="19">
        <f t="shared" si="80"/>
        <v>115000000</v>
      </c>
      <c r="BB110" s="19">
        <f t="shared" si="81"/>
        <v>74750000</v>
      </c>
      <c r="BC110" s="19">
        <f t="shared" si="56"/>
        <v>13225000</v>
      </c>
      <c r="BD110" s="19">
        <f t="shared" si="57"/>
        <v>575000</v>
      </c>
      <c r="BE110" s="19">
        <f t="shared" si="82"/>
        <v>26450000</v>
      </c>
    </row>
    <row r="111" spans="1:57">
      <c r="A111" s="81" t="s">
        <v>375</v>
      </c>
      <c r="B111" s="1">
        <v>2112</v>
      </c>
      <c r="C111" s="263">
        <v>4.0000000000000001E-3</v>
      </c>
      <c r="D111" s="264">
        <f t="shared" si="47"/>
        <v>880300000</v>
      </c>
      <c r="E111" s="344">
        <f t="shared" si="58"/>
        <v>1232420000</v>
      </c>
      <c r="F111" s="676">
        <f t="shared" si="83"/>
        <v>82000000</v>
      </c>
      <c r="G111" s="16">
        <f t="shared" si="84"/>
        <v>1012344999.9999999</v>
      </c>
      <c r="H111" s="19">
        <f t="shared" si="87"/>
        <v>728888399.99999988</v>
      </c>
      <c r="I111" s="16">
        <f t="shared" si="59"/>
        <v>220075000.00000012</v>
      </c>
      <c r="J111" s="19">
        <f t="shared" si="60"/>
        <v>126763200.00000006</v>
      </c>
      <c r="K111" s="16">
        <f t="shared" si="61"/>
        <v>0</v>
      </c>
      <c r="L111" s="25">
        <f t="shared" si="62"/>
        <v>0</v>
      </c>
      <c r="M111" s="229">
        <f t="shared" si="63"/>
        <v>856000000</v>
      </c>
      <c r="N111" s="230">
        <f t="shared" si="64"/>
        <v>259000000</v>
      </c>
      <c r="O111" s="231">
        <f t="shared" si="65"/>
        <v>597000000</v>
      </c>
      <c r="P111" s="265">
        <f t="shared" si="66"/>
        <v>30000000</v>
      </c>
      <c r="Q111" s="233">
        <f t="shared" si="67"/>
        <v>567000000</v>
      </c>
      <c r="R111" s="659">
        <f t="shared" si="68"/>
        <v>482000000</v>
      </c>
      <c r="S111" s="665">
        <f t="shared" si="85"/>
        <v>85000000</v>
      </c>
      <c r="T111" s="266">
        <f t="shared" si="69"/>
        <v>115000000</v>
      </c>
      <c r="U111" s="124">
        <f t="shared" si="70"/>
        <v>7.2804878048780486</v>
      </c>
      <c r="V111" s="124">
        <f t="shared" si="71"/>
        <v>0.69456841011992665</v>
      </c>
      <c r="X111" s="379">
        <f t="shared" si="72"/>
        <v>856000000</v>
      </c>
      <c r="Z111" s="19">
        <v>5000000</v>
      </c>
      <c r="AA111" s="236">
        <f t="shared" si="88"/>
        <v>-220000000</v>
      </c>
      <c r="AB111" s="237">
        <f t="shared" si="73"/>
        <v>641000000</v>
      </c>
      <c r="AD111" s="238">
        <f t="shared" si="51"/>
        <v>236000000</v>
      </c>
      <c r="AE111" s="238">
        <f t="shared" si="74"/>
        <v>405000000</v>
      </c>
      <c r="AF111" s="17"/>
      <c r="AG111" s="239">
        <f t="shared" si="52"/>
        <v>131555555.55555555</v>
      </c>
      <c r="AH111" s="262">
        <f t="shared" si="75"/>
        <v>36835555.555555552</v>
      </c>
      <c r="AI111" s="240">
        <f t="shared" si="76"/>
        <v>47360000</v>
      </c>
      <c r="AJ111" s="241">
        <f t="shared" si="77"/>
        <v>47360000</v>
      </c>
      <c r="AL111" s="239">
        <f t="shared" si="89"/>
        <v>273444444.44444442</v>
      </c>
      <c r="AM111" s="17">
        <f t="shared" si="53"/>
        <v>139456666.66666666</v>
      </c>
      <c r="AN111" s="17">
        <f t="shared" si="78"/>
        <v>66993888.888888881</v>
      </c>
      <c r="AO111" s="233">
        <f t="shared" si="79"/>
        <v>66993888.888888881</v>
      </c>
      <c r="AQ111" s="242">
        <f t="shared" si="54"/>
        <v>412292222.22222221</v>
      </c>
      <c r="AR111" s="17">
        <f t="shared" si="50"/>
        <v>114353888.88888888</v>
      </c>
      <c r="AS111" s="233">
        <f t="shared" si="50"/>
        <v>114353888.88888888</v>
      </c>
      <c r="AU111" s="260">
        <f t="shared" si="90"/>
        <v>0.13976007532956686</v>
      </c>
      <c r="AW111" s="244">
        <f t="shared" si="55"/>
        <v>0.23228699551569507</v>
      </c>
      <c r="AY111" s="238">
        <f t="shared" si="86"/>
        <v>-367646111.1111111</v>
      </c>
      <c r="BA111" s="19">
        <f t="shared" si="80"/>
        <v>115000000</v>
      </c>
      <c r="BB111" s="19">
        <f t="shared" si="81"/>
        <v>74750000</v>
      </c>
      <c r="BC111" s="19">
        <f t="shared" si="56"/>
        <v>13225000</v>
      </c>
      <c r="BD111" s="19">
        <f t="shared" si="57"/>
        <v>575000</v>
      </c>
      <c r="BE111" s="19">
        <f t="shared" si="82"/>
        <v>26450000</v>
      </c>
    </row>
    <row r="112" spans="1:57">
      <c r="A112" s="81" t="s">
        <v>376</v>
      </c>
      <c r="B112" s="1">
        <v>2113</v>
      </c>
      <c r="C112" s="263">
        <v>4.0000000000000001E-3</v>
      </c>
      <c r="D112" s="264">
        <f t="shared" si="47"/>
        <v>883800000</v>
      </c>
      <c r="E112" s="344">
        <f t="shared" si="58"/>
        <v>1237320000</v>
      </c>
      <c r="F112" s="676">
        <f t="shared" si="83"/>
        <v>82000000</v>
      </c>
      <c r="G112" s="16">
        <f t="shared" si="84"/>
        <v>1016369999.9999999</v>
      </c>
      <c r="H112" s="19">
        <f t="shared" si="87"/>
        <v>731786399.99999988</v>
      </c>
      <c r="I112" s="16">
        <f t="shared" si="59"/>
        <v>220950000.00000012</v>
      </c>
      <c r="J112" s="19">
        <f t="shared" si="60"/>
        <v>127267200.00000006</v>
      </c>
      <c r="K112" s="16">
        <f t="shared" si="61"/>
        <v>0</v>
      </c>
      <c r="L112" s="25">
        <f t="shared" si="62"/>
        <v>0</v>
      </c>
      <c r="M112" s="229">
        <f t="shared" si="63"/>
        <v>859000000</v>
      </c>
      <c r="N112" s="230">
        <f t="shared" si="64"/>
        <v>260000000</v>
      </c>
      <c r="O112" s="231">
        <f t="shared" si="65"/>
        <v>599000000</v>
      </c>
      <c r="P112" s="265">
        <f t="shared" si="66"/>
        <v>30000000</v>
      </c>
      <c r="Q112" s="233">
        <f t="shared" si="67"/>
        <v>569000000</v>
      </c>
      <c r="R112" s="659">
        <f t="shared" si="68"/>
        <v>484000000</v>
      </c>
      <c r="S112" s="665">
        <f t="shared" si="85"/>
        <v>85000000</v>
      </c>
      <c r="T112" s="266">
        <f t="shared" si="69"/>
        <v>115000000</v>
      </c>
      <c r="U112" s="124">
        <f t="shared" si="70"/>
        <v>7.3048780487804876</v>
      </c>
      <c r="V112" s="124">
        <f t="shared" si="71"/>
        <v>0.69424239485339279</v>
      </c>
      <c r="X112" s="379">
        <f t="shared" si="72"/>
        <v>859000000</v>
      </c>
      <c r="Z112" s="19">
        <v>5000000</v>
      </c>
      <c r="AA112" s="236">
        <f t="shared" si="88"/>
        <v>-220000000</v>
      </c>
      <c r="AB112" s="237">
        <f t="shared" si="73"/>
        <v>644000000</v>
      </c>
      <c r="AD112" s="238">
        <f t="shared" si="51"/>
        <v>236000000</v>
      </c>
      <c r="AE112" s="238">
        <f t="shared" si="74"/>
        <v>408000000</v>
      </c>
      <c r="AF112" s="17"/>
      <c r="AG112" s="239">
        <f t="shared" si="52"/>
        <v>131555555.55555555</v>
      </c>
      <c r="AH112" s="262">
        <f t="shared" si="75"/>
        <v>36835555.555555552</v>
      </c>
      <c r="AI112" s="240">
        <f t="shared" si="76"/>
        <v>47360000</v>
      </c>
      <c r="AJ112" s="241">
        <f t="shared" si="77"/>
        <v>47360000</v>
      </c>
      <c r="AL112" s="239">
        <f t="shared" si="89"/>
        <v>276444444.44444442</v>
      </c>
      <c r="AM112" s="17">
        <f t="shared" si="53"/>
        <v>140986666.66666666</v>
      </c>
      <c r="AN112" s="17">
        <f t="shared" si="78"/>
        <v>67728888.888888881</v>
      </c>
      <c r="AO112" s="233">
        <f t="shared" si="79"/>
        <v>67728888.888888881</v>
      </c>
      <c r="AQ112" s="242">
        <f t="shared" si="54"/>
        <v>413822222.22222221</v>
      </c>
      <c r="AR112" s="17">
        <f t="shared" si="50"/>
        <v>115088888.88888888</v>
      </c>
      <c r="AS112" s="233">
        <f t="shared" si="50"/>
        <v>115088888.88888888</v>
      </c>
      <c r="AU112" s="260">
        <f t="shared" si="90"/>
        <v>0.14027871939736347</v>
      </c>
      <c r="AW112" s="244">
        <f t="shared" si="55"/>
        <v>0.23235031277926721</v>
      </c>
      <c r="AY112" s="238">
        <f t="shared" si="86"/>
        <v>-368911111.1111111</v>
      </c>
      <c r="BA112" s="19">
        <f t="shared" si="80"/>
        <v>115000000</v>
      </c>
      <c r="BB112" s="19">
        <f t="shared" si="81"/>
        <v>74750000</v>
      </c>
      <c r="BC112" s="19">
        <f t="shared" si="56"/>
        <v>13225000</v>
      </c>
      <c r="BD112" s="19">
        <f t="shared" si="57"/>
        <v>575000</v>
      </c>
      <c r="BE112" s="19">
        <f t="shared" si="82"/>
        <v>26450000</v>
      </c>
    </row>
    <row r="113" spans="1:57">
      <c r="A113" s="81" t="s">
        <v>377</v>
      </c>
      <c r="B113" s="1">
        <v>2114</v>
      </c>
      <c r="C113" s="263">
        <v>4.0000000000000001E-3</v>
      </c>
      <c r="D113" s="264">
        <f t="shared" si="47"/>
        <v>887300000</v>
      </c>
      <c r="E113" s="344">
        <f t="shared" si="58"/>
        <v>1242220000</v>
      </c>
      <c r="F113" s="676">
        <f t="shared" si="83"/>
        <v>83000000</v>
      </c>
      <c r="G113" s="16">
        <f t="shared" si="84"/>
        <v>1020394999.9999999</v>
      </c>
      <c r="H113" s="19">
        <f t="shared" si="87"/>
        <v>734684399.99999988</v>
      </c>
      <c r="I113" s="16">
        <f t="shared" si="59"/>
        <v>221825000.00000012</v>
      </c>
      <c r="J113" s="19">
        <f t="shared" si="60"/>
        <v>127771200.00000006</v>
      </c>
      <c r="K113" s="16">
        <f t="shared" si="61"/>
        <v>0</v>
      </c>
      <c r="L113" s="25">
        <f t="shared" si="62"/>
        <v>0</v>
      </c>
      <c r="M113" s="229">
        <f t="shared" si="63"/>
        <v>862000000</v>
      </c>
      <c r="N113" s="230">
        <f t="shared" si="64"/>
        <v>261000000</v>
      </c>
      <c r="O113" s="231">
        <f>M113-N113</f>
        <v>601000000</v>
      </c>
      <c r="P113" s="265">
        <f t="shared" si="66"/>
        <v>30000000</v>
      </c>
      <c r="Q113" s="233">
        <f t="shared" si="67"/>
        <v>571000000</v>
      </c>
      <c r="R113" s="659">
        <f t="shared" si="68"/>
        <v>485000000</v>
      </c>
      <c r="S113" s="665">
        <f t="shared" si="85"/>
        <v>86000000</v>
      </c>
      <c r="T113" s="266">
        <f t="shared" si="69"/>
        <v>116000000</v>
      </c>
      <c r="U113" s="124">
        <f t="shared" si="70"/>
        <v>7.2409638554216871</v>
      </c>
      <c r="V113" s="124">
        <f t="shared" si="71"/>
        <v>0.69391895155447503</v>
      </c>
      <c r="X113" s="379">
        <f t="shared" si="72"/>
        <v>862000000</v>
      </c>
      <c r="Z113" s="19">
        <v>5000000</v>
      </c>
      <c r="AA113" s="236">
        <f t="shared" si="88"/>
        <v>-220000000</v>
      </c>
      <c r="AB113" s="237">
        <f t="shared" si="73"/>
        <v>647000000</v>
      </c>
      <c r="AD113" s="238">
        <f t="shared" si="51"/>
        <v>236000000</v>
      </c>
      <c r="AE113" s="238">
        <f t="shared" si="74"/>
        <v>411000000</v>
      </c>
      <c r="AF113" s="17"/>
      <c r="AG113" s="239">
        <f t="shared" si="52"/>
        <v>131555555.55555555</v>
      </c>
      <c r="AH113" s="262">
        <f t="shared" si="75"/>
        <v>36835555.555555552</v>
      </c>
      <c r="AI113" s="240">
        <f t="shared" si="76"/>
        <v>47360000</v>
      </c>
      <c r="AJ113" s="241">
        <f t="shared" si="77"/>
        <v>47360000</v>
      </c>
      <c r="AL113" s="239">
        <f t="shared" si="89"/>
        <v>279444444.44444442</v>
      </c>
      <c r="AM113" s="17">
        <f t="shared" si="53"/>
        <v>142516666.66666666</v>
      </c>
      <c r="AN113" s="17">
        <f t="shared" si="78"/>
        <v>68463888.888888881</v>
      </c>
      <c r="AO113" s="233">
        <f t="shared" si="79"/>
        <v>68463888.888888881</v>
      </c>
      <c r="AQ113" s="242">
        <f t="shared" si="54"/>
        <v>415352222.22222221</v>
      </c>
      <c r="AR113" s="17">
        <f t="shared" si="50"/>
        <v>115823888.88888888</v>
      </c>
      <c r="AS113" s="233">
        <f t="shared" si="50"/>
        <v>115823888.88888888</v>
      </c>
      <c r="AU113" s="260">
        <f t="shared" si="90"/>
        <v>0.14079736346516006</v>
      </c>
      <c r="AW113" s="244">
        <f t="shared" si="55"/>
        <v>0.23241317898486197</v>
      </c>
      <c r="AY113" s="238">
        <f t="shared" si="86"/>
        <v>-369176111.1111111</v>
      </c>
      <c r="BA113" s="19">
        <f t="shared" si="80"/>
        <v>116000000</v>
      </c>
      <c r="BB113" s="19">
        <f t="shared" si="81"/>
        <v>75400000</v>
      </c>
      <c r="BC113" s="19">
        <f t="shared" si="56"/>
        <v>13340000</v>
      </c>
      <c r="BD113" s="19">
        <f t="shared" si="57"/>
        <v>580000</v>
      </c>
      <c r="BE113" s="19">
        <f t="shared" si="82"/>
        <v>26680000</v>
      </c>
    </row>
    <row r="114" spans="1:57">
      <c r="A114" s="81" t="s">
        <v>378</v>
      </c>
      <c r="B114" s="1">
        <v>2115</v>
      </c>
      <c r="C114" s="263">
        <v>4.0000000000000001E-3</v>
      </c>
      <c r="D114" s="264">
        <f t="shared" ref="D114:D116" si="92">ROUND(D113*(100%+C114),-5)</f>
        <v>890800000</v>
      </c>
      <c r="E114" s="344">
        <f t="shared" si="58"/>
        <v>1247120000</v>
      </c>
      <c r="F114" s="676">
        <f t="shared" si="83"/>
        <v>83000000</v>
      </c>
      <c r="G114" s="16">
        <f t="shared" si="84"/>
        <v>1024419999.9999999</v>
      </c>
      <c r="H114" s="19">
        <f t="shared" si="87"/>
        <v>737582399.99999988</v>
      </c>
      <c r="I114" s="16">
        <f t="shared" si="59"/>
        <v>222700000.00000012</v>
      </c>
      <c r="J114" s="19">
        <f t="shared" si="60"/>
        <v>128275200.00000006</v>
      </c>
      <c r="K114" s="16">
        <f t="shared" si="61"/>
        <v>0</v>
      </c>
      <c r="L114" s="25">
        <f t="shared" si="62"/>
        <v>0</v>
      </c>
      <c r="M114" s="229">
        <f t="shared" si="63"/>
        <v>866000000</v>
      </c>
      <c r="N114" s="230">
        <f t="shared" si="64"/>
        <v>262000000</v>
      </c>
      <c r="O114" s="231">
        <f t="shared" si="65"/>
        <v>604000000</v>
      </c>
      <c r="P114" s="265">
        <f t="shared" si="66"/>
        <v>30000000</v>
      </c>
      <c r="Q114" s="233">
        <f t="shared" si="67"/>
        <v>574000000</v>
      </c>
      <c r="R114" s="659">
        <f t="shared" si="68"/>
        <v>488000000</v>
      </c>
      <c r="S114" s="665">
        <f t="shared" si="85"/>
        <v>86000000</v>
      </c>
      <c r="T114" s="266">
        <f t="shared" si="69"/>
        <v>116000000</v>
      </c>
      <c r="U114" s="124">
        <f t="shared" si="70"/>
        <v>7.2771084337349397</v>
      </c>
      <c r="V114" s="124">
        <f t="shared" si="71"/>
        <v>0.69439989736352559</v>
      </c>
      <c r="X114" s="379">
        <f t="shared" si="72"/>
        <v>866000000</v>
      </c>
      <c r="Z114" s="19">
        <v>5000000</v>
      </c>
      <c r="AA114" s="236">
        <f t="shared" si="88"/>
        <v>-220000000</v>
      </c>
      <c r="AB114" s="237">
        <f t="shared" si="73"/>
        <v>651000000</v>
      </c>
      <c r="AD114" s="238">
        <f t="shared" si="51"/>
        <v>236000000</v>
      </c>
      <c r="AE114" s="238">
        <f t="shared" si="74"/>
        <v>415000000</v>
      </c>
      <c r="AF114" s="17"/>
      <c r="AG114" s="239">
        <f t="shared" si="52"/>
        <v>131555555.55555555</v>
      </c>
      <c r="AH114" s="262">
        <f t="shared" si="75"/>
        <v>36835555.555555552</v>
      </c>
      <c r="AI114" s="240">
        <f t="shared" si="76"/>
        <v>47360000</v>
      </c>
      <c r="AJ114" s="241">
        <f t="shared" si="77"/>
        <v>47360000</v>
      </c>
      <c r="AL114" s="239">
        <f t="shared" si="89"/>
        <v>283444444.44444442</v>
      </c>
      <c r="AM114" s="17">
        <f t="shared" si="53"/>
        <v>144556666.66666666</v>
      </c>
      <c r="AN114" s="17">
        <f t="shared" si="78"/>
        <v>69443888.888888881</v>
      </c>
      <c r="AO114" s="233">
        <f t="shared" si="79"/>
        <v>69443888.888888881</v>
      </c>
      <c r="AQ114" s="242">
        <f t="shared" si="54"/>
        <v>417392222.22222221</v>
      </c>
      <c r="AR114" s="17">
        <f t="shared" si="50"/>
        <v>116803888.88888888</v>
      </c>
      <c r="AS114" s="233">
        <f t="shared" si="50"/>
        <v>116803888.88888888</v>
      </c>
      <c r="AU114" s="260">
        <f t="shared" si="90"/>
        <v>0.14148888888888889</v>
      </c>
      <c r="AW114" s="244">
        <f t="shared" si="55"/>
        <v>0.23226950354609929</v>
      </c>
      <c r="AY114" s="238">
        <f t="shared" si="86"/>
        <v>-371196111.1111111</v>
      </c>
      <c r="BA114" s="19">
        <f t="shared" si="80"/>
        <v>116000000</v>
      </c>
      <c r="BB114" s="19">
        <f t="shared" si="81"/>
        <v>75400000</v>
      </c>
      <c r="BC114" s="19">
        <f t="shared" si="56"/>
        <v>13340000</v>
      </c>
      <c r="BD114" s="19">
        <f t="shared" si="57"/>
        <v>580000</v>
      </c>
      <c r="BE114" s="19">
        <f t="shared" si="82"/>
        <v>26680000</v>
      </c>
    </row>
    <row r="115" spans="1:57">
      <c r="A115" s="81" t="s">
        <v>379</v>
      </c>
      <c r="B115" s="1">
        <v>2116</v>
      </c>
      <c r="C115" s="263">
        <v>4.0000000000000001E-3</v>
      </c>
      <c r="D115" s="264">
        <f t="shared" si="92"/>
        <v>894400000</v>
      </c>
      <c r="E115" s="344">
        <f t="shared" si="58"/>
        <v>1252160000</v>
      </c>
      <c r="F115" s="676">
        <f t="shared" si="83"/>
        <v>83000000</v>
      </c>
      <c r="G115" s="16">
        <f t="shared" si="84"/>
        <v>1028559999.9999999</v>
      </c>
      <c r="H115" s="19">
        <f t="shared" si="87"/>
        <v>740563199.99999988</v>
      </c>
      <c r="I115" s="16">
        <f t="shared" si="59"/>
        <v>223600000.00000012</v>
      </c>
      <c r="J115" s="19">
        <f t="shared" si="60"/>
        <v>128793600.00000006</v>
      </c>
      <c r="K115" s="16">
        <f t="shared" si="61"/>
        <v>0</v>
      </c>
      <c r="L115" s="25">
        <f t="shared" si="62"/>
        <v>0</v>
      </c>
      <c r="M115" s="229">
        <f t="shared" si="63"/>
        <v>869000000</v>
      </c>
      <c r="N115" s="230">
        <f t="shared" si="64"/>
        <v>263000000</v>
      </c>
      <c r="O115" s="231">
        <f t="shared" si="65"/>
        <v>606000000</v>
      </c>
      <c r="P115" s="265">
        <f t="shared" si="66"/>
        <v>30000000</v>
      </c>
      <c r="Q115" s="233">
        <f t="shared" si="67"/>
        <v>576000000</v>
      </c>
      <c r="R115" s="659">
        <f t="shared" si="68"/>
        <v>490000000</v>
      </c>
      <c r="S115" s="665">
        <f t="shared" si="85"/>
        <v>86000000</v>
      </c>
      <c r="T115" s="266">
        <f t="shared" si="69"/>
        <v>116000000</v>
      </c>
      <c r="U115" s="124">
        <f t="shared" si="70"/>
        <v>7.3012048192771086</v>
      </c>
      <c r="V115" s="124">
        <f t="shared" si="71"/>
        <v>0.69400076667518529</v>
      </c>
      <c r="X115" s="379">
        <f t="shared" si="72"/>
        <v>869000000</v>
      </c>
      <c r="Z115" s="19">
        <v>5000000</v>
      </c>
      <c r="AA115" s="236">
        <f t="shared" si="88"/>
        <v>-220000000</v>
      </c>
      <c r="AB115" s="237">
        <f t="shared" si="73"/>
        <v>654000000</v>
      </c>
      <c r="AD115" s="238">
        <f t="shared" si="51"/>
        <v>236000000</v>
      </c>
      <c r="AE115" s="238">
        <f t="shared" si="74"/>
        <v>418000000</v>
      </c>
      <c r="AF115" s="17"/>
      <c r="AG115" s="239">
        <f t="shared" si="52"/>
        <v>131555555.55555555</v>
      </c>
      <c r="AH115" s="262">
        <f t="shared" si="75"/>
        <v>36835555.555555552</v>
      </c>
      <c r="AI115" s="240">
        <f t="shared" si="76"/>
        <v>47360000</v>
      </c>
      <c r="AJ115" s="241">
        <f t="shared" si="77"/>
        <v>47360000</v>
      </c>
      <c r="AL115" s="239">
        <f t="shared" si="89"/>
        <v>286444444.44444442</v>
      </c>
      <c r="AM115" s="17">
        <f t="shared" si="53"/>
        <v>146086666.66666666</v>
      </c>
      <c r="AN115" s="17">
        <f t="shared" si="78"/>
        <v>70178888.888888881</v>
      </c>
      <c r="AO115" s="233">
        <f t="shared" si="79"/>
        <v>70178888.888888881</v>
      </c>
      <c r="AQ115" s="242">
        <f t="shared" si="54"/>
        <v>418922222.22222221</v>
      </c>
      <c r="AR115" s="17">
        <f t="shared" si="50"/>
        <v>117538888.88888888</v>
      </c>
      <c r="AS115" s="233">
        <f t="shared" si="50"/>
        <v>117538888.88888888</v>
      </c>
      <c r="AU115" s="260">
        <f t="shared" si="90"/>
        <v>0.1420075329566855</v>
      </c>
      <c r="AW115" s="244">
        <f t="shared" si="55"/>
        <v>0.23233215547703182</v>
      </c>
      <c r="AY115" s="238">
        <f t="shared" si="86"/>
        <v>-372461111.1111111</v>
      </c>
      <c r="BA115" s="19">
        <f t="shared" si="80"/>
        <v>116000000</v>
      </c>
      <c r="BB115" s="19">
        <f t="shared" si="81"/>
        <v>75400000</v>
      </c>
      <c r="BC115" s="19">
        <f t="shared" si="56"/>
        <v>13340000</v>
      </c>
      <c r="BD115" s="19">
        <f t="shared" si="57"/>
        <v>580000</v>
      </c>
      <c r="BE115" s="19">
        <f t="shared" si="82"/>
        <v>26680000</v>
      </c>
    </row>
    <row r="116" spans="1:57" ht="16" thickBot="1">
      <c r="A116" s="81" t="s">
        <v>380</v>
      </c>
      <c r="B116" s="1">
        <v>2117</v>
      </c>
      <c r="C116" s="268">
        <v>4.0000000000000001E-3</v>
      </c>
      <c r="D116" s="269">
        <f t="shared" si="92"/>
        <v>898000000</v>
      </c>
      <c r="E116" s="345">
        <f t="shared" si="58"/>
        <v>1257200000</v>
      </c>
      <c r="F116" s="677">
        <f>ROUND(E116/15,-6)</f>
        <v>84000000</v>
      </c>
      <c r="G116" s="18">
        <f t="shared" si="84"/>
        <v>1032699999.9999999</v>
      </c>
      <c r="H116" s="187">
        <f t="shared" si="87"/>
        <v>743543999.99999988</v>
      </c>
      <c r="I116" s="18">
        <f t="shared" si="59"/>
        <v>224500000.00000012</v>
      </c>
      <c r="J116" s="187">
        <f t="shared" si="60"/>
        <v>129312000.00000006</v>
      </c>
      <c r="K116" s="18">
        <f t="shared" si="61"/>
        <v>0</v>
      </c>
      <c r="L116" s="270">
        <f t="shared" si="62"/>
        <v>0</v>
      </c>
      <c r="M116" s="271">
        <f t="shared" si="63"/>
        <v>873000000</v>
      </c>
      <c r="N116" s="272">
        <f t="shared" si="64"/>
        <v>264000000</v>
      </c>
      <c r="O116" s="273">
        <f t="shared" si="65"/>
        <v>609000000</v>
      </c>
      <c r="P116" s="274">
        <f t="shared" si="66"/>
        <v>30000000</v>
      </c>
      <c r="Q116" s="275">
        <f t="shared" si="67"/>
        <v>579000000</v>
      </c>
      <c r="R116" s="666">
        <f t="shared" si="68"/>
        <v>492000000</v>
      </c>
      <c r="S116" s="667">
        <f t="shared" si="85"/>
        <v>87000000</v>
      </c>
      <c r="T116" s="276">
        <f t="shared" si="69"/>
        <v>117000000</v>
      </c>
      <c r="U116" s="674">
        <f t="shared" si="70"/>
        <v>7.25</v>
      </c>
      <c r="V116" s="124">
        <f t="shared" si="71"/>
        <v>0.69440025453388488</v>
      </c>
      <c r="X116" s="379">
        <f t="shared" si="72"/>
        <v>873000000</v>
      </c>
      <c r="Y116" s="30"/>
      <c r="Z116" s="187">
        <v>5000000</v>
      </c>
      <c r="AA116" s="277">
        <f t="shared" ref="AA116" si="93">AA115</f>
        <v>-220000000</v>
      </c>
      <c r="AB116" s="278">
        <f t="shared" si="73"/>
        <v>658000000</v>
      </c>
      <c r="AD116" s="279">
        <f t="shared" si="51"/>
        <v>236000000</v>
      </c>
      <c r="AE116" s="279">
        <f t="shared" si="74"/>
        <v>422000000</v>
      </c>
      <c r="AF116" s="17"/>
      <c r="AG116" s="280">
        <f t="shared" si="52"/>
        <v>131555555.55555555</v>
      </c>
      <c r="AH116" s="281">
        <f t="shared" si="75"/>
        <v>36835555.555555552</v>
      </c>
      <c r="AI116" s="282">
        <f t="shared" si="76"/>
        <v>47360000</v>
      </c>
      <c r="AJ116" s="283">
        <f t="shared" si="77"/>
        <v>47360000</v>
      </c>
      <c r="AL116" s="280">
        <f t="shared" si="89"/>
        <v>290444444.44444442</v>
      </c>
      <c r="AM116" s="187">
        <f t="shared" si="53"/>
        <v>148126666.66666666</v>
      </c>
      <c r="AN116" s="187">
        <f t="shared" si="78"/>
        <v>71158888.888888881</v>
      </c>
      <c r="AO116" s="275">
        <f t="shared" si="79"/>
        <v>71158888.888888881</v>
      </c>
      <c r="AQ116" s="284">
        <f t="shared" si="54"/>
        <v>420962222.22222221</v>
      </c>
      <c r="AR116" s="187">
        <f t="shared" si="50"/>
        <v>118518888.88888888</v>
      </c>
      <c r="AS116" s="275">
        <f t="shared" si="50"/>
        <v>118518888.88888888</v>
      </c>
      <c r="AU116" s="260">
        <f t="shared" si="90"/>
        <v>0.1426990583804143</v>
      </c>
      <c r="AW116" s="244">
        <f t="shared" si="55"/>
        <v>0.23218997361477572</v>
      </c>
      <c r="AY116" s="238">
        <f t="shared" si="86"/>
        <v>-373481111.1111111</v>
      </c>
      <c r="BA116" s="19">
        <f t="shared" si="80"/>
        <v>117000000</v>
      </c>
      <c r="BB116" s="19">
        <f t="shared" si="81"/>
        <v>76050000</v>
      </c>
      <c r="BC116" s="19">
        <f t="shared" si="56"/>
        <v>13455000</v>
      </c>
      <c r="BD116" s="19">
        <f t="shared" si="57"/>
        <v>585000</v>
      </c>
      <c r="BE116" s="19">
        <f t="shared" si="82"/>
        <v>26910000</v>
      </c>
    </row>
    <row r="117" spans="1:57" ht="16" thickTop="1">
      <c r="C117" s="285" t="s">
        <v>26</v>
      </c>
      <c r="D117" s="16">
        <f>SUM(D20:D116)</f>
        <v>70762600000</v>
      </c>
      <c r="E117" s="286">
        <f>SUM(E20:E116)</f>
        <v>99067640000</v>
      </c>
      <c r="F117" s="40"/>
      <c r="G117" s="16">
        <f>SUM(G20:G116)</f>
        <v>81369515000</v>
      </c>
      <c r="H117" s="19">
        <f>SUM(H19:H116)</f>
        <v>58586037200.720001</v>
      </c>
      <c r="I117" s="16">
        <f>SUM(I20:I116)</f>
        <v>17689025000</v>
      </c>
      <c r="J117" s="19">
        <f>SUM(J19:J116)</f>
        <v>10188878400.576</v>
      </c>
      <c r="K117" s="16">
        <f>SUM(K20:K116)</f>
        <v>0</v>
      </c>
      <c r="L117" s="19">
        <f>SUM(L19:L116)</f>
        <v>0.21</v>
      </c>
      <c r="M117" s="287">
        <f t="shared" ref="M117:R117" si="94">SUM(M20:M116)</f>
        <v>68775000000</v>
      </c>
      <c r="N117" s="288">
        <f t="shared" si="94"/>
        <v>20810000000</v>
      </c>
      <c r="O117" s="289">
        <f t="shared" si="94"/>
        <v>47965000000</v>
      </c>
      <c r="P117" s="290">
        <f t="shared" si="94"/>
        <v>2910000000</v>
      </c>
      <c r="Q117" s="266">
        <f t="shared" si="94"/>
        <v>45055000000</v>
      </c>
      <c r="R117" s="291">
        <f t="shared" si="94"/>
        <v>38299000000</v>
      </c>
      <c r="T117" s="292">
        <f>SUM(T20:T116)</f>
        <v>9670000000</v>
      </c>
      <c r="U117" s="673"/>
      <c r="X117" s="293">
        <f>SUM(X20:X116)</f>
        <v>68775000000</v>
      </c>
      <c r="Y117" s="242">
        <f>SUM(Y20:Y116)</f>
        <v>600000000</v>
      </c>
      <c r="Z117" s="242">
        <f>SUM(Z20:Z116)</f>
        <v>485000000</v>
      </c>
      <c r="AA117" s="293">
        <f>SUM(AA20:AA116)</f>
        <v>-20955000000</v>
      </c>
      <c r="AB117" s="293">
        <f>SUM(AB20:AB116)</f>
        <v>48905000000</v>
      </c>
      <c r="AD117" s="293">
        <f>SUM(AD20:AD116)</f>
        <v>22458000000</v>
      </c>
      <c r="AE117" s="293">
        <f>SUM(AE20:AE116)</f>
        <v>26447000000</v>
      </c>
      <c r="AF117" s="16"/>
      <c r="AG117" s="239">
        <f>SUM(AG20:AG116)</f>
        <v>12253111111.111095</v>
      </c>
      <c r="AH117" s="294">
        <f>SUM(AH20:AH116)</f>
        <v>3430871111.111105</v>
      </c>
      <c r="AI117" s="295">
        <f>SUM(AI20:AI116)</f>
        <v>4411120000</v>
      </c>
      <c r="AJ117" s="296">
        <f>SUM(AJ20:AJ116)</f>
        <v>4411120000</v>
      </c>
      <c r="AL117" s="239">
        <f>SUM(AL20:AL116)</f>
        <v>14193888888.888901</v>
      </c>
      <c r="AM117" s="294">
        <f>SUM(AM20:AM116)</f>
        <v>7238883333.3333378</v>
      </c>
      <c r="AN117" s="295">
        <f>SUM(AN20:AN116)</f>
        <v>3477502777.7777748</v>
      </c>
      <c r="AO117" s="297">
        <f>SUM(AO20:AO116)</f>
        <v>3477502777.7777748</v>
      </c>
      <c r="AQ117" s="298">
        <f>SUM(AQ20:AQ116)</f>
        <v>33127754444.444393</v>
      </c>
      <c r="AR117" s="299">
        <f>SUM(AR20:AR116)</f>
        <v>7888622777.7777901</v>
      </c>
      <c r="AS117" s="300">
        <f>SUM(AS20:AS116)</f>
        <v>7888622777.7777901</v>
      </c>
      <c r="AU117" s="301"/>
      <c r="AW117" s="301"/>
      <c r="AY117" s="302">
        <f>SUM(AY20:AY116)</f>
        <v>-30410377222.222191</v>
      </c>
      <c r="AZ117" s="303" t="s">
        <v>26</v>
      </c>
      <c r="BA117" s="304">
        <f>SUM(BA20:BA116)</f>
        <v>9670000000</v>
      </c>
      <c r="BB117" s="304">
        <f>SUM(BB20:BB116)</f>
        <v>6285500000</v>
      </c>
      <c r="BC117" s="304">
        <f>SUM(BC20:BC116)</f>
        <v>1112050000</v>
      </c>
      <c r="BD117" s="304">
        <f>SUM(BD20:BD116)</f>
        <v>48350000</v>
      </c>
      <c r="BE117" s="304">
        <f>SUM(BE20:BE116)</f>
        <v>2224100000</v>
      </c>
    </row>
    <row r="118" spans="1:57" ht="16" thickBot="1">
      <c r="C118" s="30"/>
      <c r="D118" s="18"/>
      <c r="E118" s="305"/>
      <c r="F118" s="18"/>
      <c r="G118" s="18"/>
      <c r="H118" s="18"/>
      <c r="I118" s="18"/>
      <c r="J118" s="18"/>
      <c r="K118" s="18"/>
      <c r="L118" s="18"/>
      <c r="M118" s="306"/>
      <c r="N118" s="187"/>
      <c r="O118" s="307"/>
      <c r="P118" s="308"/>
      <c r="Q118" s="276"/>
      <c r="R118" s="119"/>
      <c r="T118" s="276"/>
      <c r="U118" s="181"/>
      <c r="X118" s="309"/>
      <c r="Y118" s="187"/>
      <c r="AA118" s="309"/>
      <c r="AB118" s="309"/>
      <c r="AD118" s="309"/>
      <c r="AE118" s="309"/>
      <c r="AF118" s="18"/>
      <c r="AG118" s="280"/>
      <c r="AH118" s="187"/>
      <c r="AI118" s="187"/>
      <c r="AJ118" s="270"/>
      <c r="AL118" s="280"/>
      <c r="AM118" s="187"/>
      <c r="AN118" s="187"/>
      <c r="AO118" s="275"/>
      <c r="AQ118" s="284"/>
      <c r="AR118" s="187"/>
      <c r="AS118" s="275"/>
      <c r="AU118" s="310"/>
      <c r="AW118" s="310"/>
      <c r="AY118" s="279"/>
      <c r="AZ118" s="311"/>
      <c r="BA118" s="312"/>
      <c r="BB118" s="312"/>
      <c r="BC118" s="312"/>
      <c r="BD118" s="312"/>
      <c r="BE118" s="312"/>
    </row>
    <row r="119" spans="1:57" ht="17" thickTop="1" thickBot="1">
      <c r="C119" s="313" t="s">
        <v>310</v>
      </c>
      <c r="D119" s="314">
        <f t="shared" ref="D119:R119" si="95">AVERAGE(D20:D116)</f>
        <v>729511340.20618558</v>
      </c>
      <c r="E119" s="315">
        <f t="shared" si="95"/>
        <v>1021315876.2886598</v>
      </c>
      <c r="F119" s="373"/>
      <c r="G119" s="314">
        <f t="shared" si="95"/>
        <v>838860979.38144326</v>
      </c>
      <c r="H119" s="314">
        <f t="shared" si="95"/>
        <v>603979764.94845366</v>
      </c>
      <c r="I119" s="314">
        <f t="shared" si="95"/>
        <v>182361082.4742268</v>
      </c>
      <c r="J119" s="314">
        <f t="shared" si="95"/>
        <v>105039983.50515464</v>
      </c>
      <c r="K119" s="314">
        <f t="shared" si="95"/>
        <v>0</v>
      </c>
      <c r="L119" s="314">
        <f t="shared" si="95"/>
        <v>0</v>
      </c>
      <c r="M119" s="316">
        <f t="shared" si="95"/>
        <v>709020618.55670106</v>
      </c>
      <c r="N119" s="317">
        <f t="shared" si="95"/>
        <v>214536082.4742268</v>
      </c>
      <c r="O119" s="318">
        <f t="shared" si="95"/>
        <v>494484536.08247423</v>
      </c>
      <c r="P119" s="319">
        <f t="shared" si="95"/>
        <v>30000000</v>
      </c>
      <c r="Q119" s="320">
        <f t="shared" si="95"/>
        <v>464484536.08247423</v>
      </c>
      <c r="R119" s="321">
        <f t="shared" si="95"/>
        <v>394835051.54639173</v>
      </c>
      <c r="T119" s="322">
        <f>AVERAGE(T20:T116)</f>
        <v>99690721.64948453</v>
      </c>
      <c r="U119" s="673"/>
      <c r="X119" s="324">
        <f>AVERAGE(X20:X116)</f>
        <v>709020618.55670106</v>
      </c>
      <c r="Y119" s="323"/>
      <c r="AA119" s="324">
        <f>AVERAGE(AA20:AA116)</f>
        <v>-216030927.83505154</v>
      </c>
      <c r="AB119" s="324">
        <f>AVERAGE(AB20:AB116)</f>
        <v>504175257.73195875</v>
      </c>
      <c r="AD119" s="324">
        <f>AVERAGE(AD20:AD116)</f>
        <v>231525773.1958763</v>
      </c>
      <c r="AE119" s="324">
        <f>AVERAGE(AE20:AE116)</f>
        <v>272649484.53608245</v>
      </c>
      <c r="AF119" s="314"/>
      <c r="AG119" s="325">
        <f>AVERAGE(AG20:AG116)</f>
        <v>126320733.10423809</v>
      </c>
      <c r="AH119" s="326">
        <f>AVERAGE(AH20:AH116)</f>
        <v>35369805.269186646</v>
      </c>
      <c r="AI119" s="327">
        <f>AVERAGE(AI20:AI116)</f>
        <v>45475463.917525776</v>
      </c>
      <c r="AJ119" s="328">
        <f>AVERAGE(AJ20:AJ116)</f>
        <v>45475463.917525776</v>
      </c>
      <c r="AL119" s="325">
        <f>AVERAGE(AL20:AL116)</f>
        <v>146328751.43184432</v>
      </c>
      <c r="AM119" s="326">
        <f>AVERAGE(AM20:AM116)</f>
        <v>74627663.230240598</v>
      </c>
      <c r="AN119" s="327">
        <f>AVERAGE(AN20:AN116)</f>
        <v>35850544.100801803</v>
      </c>
      <c r="AO119" s="329">
        <f>AVERAGE(AO20:AO116)</f>
        <v>35850544.100801803</v>
      </c>
      <c r="AQ119" s="330">
        <f>AVERAGE(AQ20:AQ116)</f>
        <v>341523241.69530302</v>
      </c>
      <c r="AR119" s="327">
        <f>AVERAGE(AR20:AR116)</f>
        <v>81326008.018327728</v>
      </c>
      <c r="AS119" s="329">
        <f>AVERAGE(AS20:AS116)</f>
        <v>81326008.018327728</v>
      </c>
      <c r="AU119" s="331">
        <f>AVERAGE(AU25:AU116)</f>
        <v>0.11915900679603701</v>
      </c>
      <c r="AW119" s="332">
        <f>AVERAGE(AW20:AW116)</f>
        <v>0.23224747999425882</v>
      </c>
      <c r="AY119" s="333">
        <f>AVERAGE(AY20:AY116)</f>
        <v>-313509043.52806383</v>
      </c>
      <c r="AZ119" s="303" t="s">
        <v>310</v>
      </c>
      <c r="BA119" s="303"/>
      <c r="BB119" s="303"/>
      <c r="BC119" s="303"/>
      <c r="BD119" s="303"/>
      <c r="BE119" s="303"/>
    </row>
    <row r="121" spans="1:57">
      <c r="D121" s="313" t="s">
        <v>311</v>
      </c>
      <c r="E121" s="334">
        <f>(E117/D117)-100%</f>
        <v>0.39999999999999991</v>
      </c>
      <c r="F121" s="334"/>
      <c r="M121"/>
      <c r="O121"/>
    </row>
    <row r="122" spans="1:57" ht="16" thickBot="1">
      <c r="M122" s="335" t="s">
        <v>312</v>
      </c>
    </row>
    <row r="123" spans="1:57" ht="16" thickBot="1">
      <c r="M123" s="336">
        <f>ROUND(M117/E117,2)</f>
        <v>0.69</v>
      </c>
    </row>
    <row r="126" spans="1:57">
      <c r="D126" s="1">
        <v>2031</v>
      </c>
      <c r="E126" s="27">
        <f>E30</f>
        <v>885640000</v>
      </c>
      <c r="F126" s="27"/>
      <c r="G126" t="s">
        <v>398</v>
      </c>
    </row>
    <row r="127" spans="1:57">
      <c r="D127" s="10" t="s">
        <v>399</v>
      </c>
      <c r="E127" s="337">
        <f>E30/292</f>
        <v>3033013.6986301369</v>
      </c>
      <c r="F127" s="40"/>
      <c r="G127" t="s">
        <v>313</v>
      </c>
    </row>
    <row r="128" spans="1:57">
      <c r="D128" s="342" t="s">
        <v>400</v>
      </c>
      <c r="E128" s="337">
        <f>E127/15</f>
        <v>202200.91324200912</v>
      </c>
      <c r="F128" s="40"/>
      <c r="G128" t="s">
        <v>315</v>
      </c>
    </row>
    <row r="129" spans="4:9">
      <c r="D129" s="342" t="s">
        <v>401</v>
      </c>
      <c r="E129" s="337">
        <f>E128*0.25</f>
        <v>50550.22831050228</v>
      </c>
      <c r="F129" s="40"/>
      <c r="G129" t="s">
        <v>402</v>
      </c>
    </row>
    <row r="130" spans="4:9">
      <c r="D130" s="342" t="s">
        <v>403</v>
      </c>
      <c r="E130" s="337">
        <f>E129/3</f>
        <v>16850.07610350076</v>
      </c>
      <c r="F130" s="40"/>
      <c r="G130" t="s">
        <v>404</v>
      </c>
    </row>
    <row r="131" spans="4:9">
      <c r="D131" s="342" t="s">
        <v>405</v>
      </c>
      <c r="E131" s="337">
        <f>E130/2</f>
        <v>8425.03805175038</v>
      </c>
      <c r="F131" s="40"/>
      <c r="G131" t="s">
        <v>406</v>
      </c>
      <c r="I131" t="s">
        <v>407</v>
      </c>
    </row>
    <row r="132" spans="4:9">
      <c r="D132" s="342"/>
      <c r="E132" s="337"/>
      <c r="F132" s="40"/>
      <c r="G132" s="334">
        <f>E131/14400</f>
        <v>0.58507208692710977</v>
      </c>
      <c r="H132" t="s">
        <v>408</v>
      </c>
    </row>
    <row r="133" spans="4:9">
      <c r="D133" s="342"/>
      <c r="E133" s="337"/>
      <c r="F133" s="40"/>
      <c r="G133" s="334"/>
    </row>
    <row r="134" spans="4:9">
      <c r="D134" s="1">
        <v>2119</v>
      </c>
      <c r="E134" s="337" t="e">
        <f>#REF!</f>
        <v>#REF!</v>
      </c>
      <c r="F134" s="40"/>
      <c r="G134" t="s">
        <v>398</v>
      </c>
    </row>
    <row r="135" spans="4:9">
      <c r="D135" s="14" t="s">
        <v>409</v>
      </c>
      <c r="E135" s="337" t="e">
        <f>#REF!/292</f>
        <v>#REF!</v>
      </c>
      <c r="F135" s="40"/>
      <c r="G135" t="s">
        <v>313</v>
      </c>
    </row>
    <row r="136" spans="4:9">
      <c r="D136" s="342" t="s">
        <v>314</v>
      </c>
      <c r="E136" s="337" t="e">
        <f>E135/15</f>
        <v>#REF!</v>
      </c>
      <c r="F136" s="40"/>
      <c r="G136" t="s">
        <v>315</v>
      </c>
    </row>
    <row r="137" spans="4:9">
      <c r="D137" s="342" t="s">
        <v>401</v>
      </c>
      <c r="E137" s="337" t="e">
        <f>E136*0.25</f>
        <v>#REF!</v>
      </c>
      <c r="F137" s="40"/>
      <c r="G137" t="s">
        <v>402</v>
      </c>
    </row>
    <row r="138" spans="4:9">
      <c r="D138" s="342" t="s">
        <v>403</v>
      </c>
      <c r="E138" s="337" t="e">
        <f>E137/3</f>
        <v>#REF!</v>
      </c>
      <c r="F138" s="40"/>
      <c r="G138" t="s">
        <v>404</v>
      </c>
    </row>
    <row r="139" spans="4:9">
      <c r="D139" s="342" t="s">
        <v>405</v>
      </c>
      <c r="E139" s="337" t="e">
        <f>E138/2</f>
        <v>#REF!</v>
      </c>
      <c r="F139" s="40"/>
      <c r="G139" t="s">
        <v>406</v>
      </c>
      <c r="I139" t="s">
        <v>407</v>
      </c>
    </row>
    <row r="140" spans="4:9">
      <c r="G140" s="10" t="s">
        <v>410</v>
      </c>
    </row>
    <row r="141" spans="4:9">
      <c r="G141" s="10">
        <f>600*40</f>
        <v>24000</v>
      </c>
      <c r="H141" s="10" t="s">
        <v>411</v>
      </c>
      <c r="I141" t="s">
        <v>412</v>
      </c>
    </row>
    <row r="142" spans="4:9">
      <c r="G142" s="10" t="s">
        <v>413</v>
      </c>
      <c r="I142" t="s">
        <v>414</v>
      </c>
    </row>
  </sheetData>
  <dataValidations count="1">
    <dataValidation type="list" showInputMessage="1" showErrorMessage="1" sqref="E18">
      <formula1>$E$10:$E$16</formula1>
    </dataValidation>
  </dataValidations>
  <hyperlinks>
    <hyperlink ref="R16" r:id="rId1"/>
  </hyperlinks>
  <pageMargins left="0.75" right="0.75" top="1" bottom="1" header="0.5" footer="0.5"/>
  <pageSetup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CCFFCC"/>
  </sheetPr>
  <dimension ref="A1:U42"/>
  <sheetViews>
    <sheetView topLeftCell="A10" workbookViewId="0">
      <selection activeCell="G41" sqref="G41"/>
    </sheetView>
  </sheetViews>
  <sheetFormatPr baseColWidth="10" defaultRowHeight="15" x14ac:dyDescent="0"/>
  <cols>
    <col min="3" max="3" width="12.5" customWidth="1"/>
    <col min="4" max="4" width="12.6640625" customWidth="1"/>
    <col min="6" max="6" width="12.5" customWidth="1"/>
    <col min="7" max="7" width="16.1640625" customWidth="1"/>
    <col min="8" max="8" width="6.1640625" customWidth="1"/>
    <col min="13" max="13" width="13" customWidth="1"/>
  </cols>
  <sheetData>
    <row r="1" spans="1:21">
      <c r="A1" s="10" t="s">
        <v>184</v>
      </c>
    </row>
    <row r="2" spans="1:21">
      <c r="A2" s="10"/>
    </row>
    <row r="3" spans="1:21">
      <c r="A3" s="10" t="s">
        <v>220</v>
      </c>
    </row>
    <row r="4" spans="1:21">
      <c r="D4" s="8" t="s">
        <v>213</v>
      </c>
    </row>
    <row r="5" spans="1:21">
      <c r="A5" s="8"/>
      <c r="B5" s="8"/>
      <c r="C5" s="8" t="s">
        <v>137</v>
      </c>
      <c r="D5" s="8" t="s">
        <v>214</v>
      </c>
      <c r="F5" s="8" t="s">
        <v>232</v>
      </c>
      <c r="K5" s="8" t="s">
        <v>621</v>
      </c>
      <c r="M5" s="8" t="s">
        <v>621</v>
      </c>
    </row>
    <row r="6" spans="1:21">
      <c r="A6" s="8" t="s">
        <v>43</v>
      </c>
      <c r="B6" s="8"/>
      <c r="C6" s="8" t="s">
        <v>215</v>
      </c>
      <c r="D6" s="8" t="s">
        <v>138</v>
      </c>
      <c r="F6" s="8" t="s">
        <v>233</v>
      </c>
      <c r="I6" s="8" t="s">
        <v>232</v>
      </c>
      <c r="J6" s="8"/>
      <c r="K6" s="8" t="s">
        <v>622</v>
      </c>
      <c r="M6" s="8" t="s">
        <v>622</v>
      </c>
    </row>
    <row r="7" spans="1:21" ht="16" thickBot="1">
      <c r="A7" s="31" t="s">
        <v>196</v>
      </c>
      <c r="B7" s="31" t="s">
        <v>43</v>
      </c>
      <c r="C7" s="31" t="s">
        <v>217</v>
      </c>
      <c r="D7" s="31" t="s">
        <v>216</v>
      </c>
      <c r="E7" s="31" t="s">
        <v>219</v>
      </c>
      <c r="F7" s="31" t="s">
        <v>216</v>
      </c>
      <c r="I7" s="353" t="s">
        <v>428</v>
      </c>
      <c r="J7" s="503"/>
      <c r="K7" s="31" t="s">
        <v>624</v>
      </c>
      <c r="L7" s="30" t="s">
        <v>621</v>
      </c>
      <c r="M7" s="31" t="s">
        <v>623</v>
      </c>
    </row>
    <row r="8" spans="1:21" ht="16" thickTop="1">
      <c r="A8" s="33" t="s">
        <v>208</v>
      </c>
      <c r="B8" s="33">
        <v>2031</v>
      </c>
      <c r="C8" s="33">
        <v>632.6</v>
      </c>
      <c r="D8" s="504">
        <f>C8/15</f>
        <v>42.173333333333332</v>
      </c>
      <c r="E8" s="33"/>
      <c r="F8" s="33"/>
      <c r="I8" s="503"/>
      <c r="J8" s="503"/>
      <c r="K8">
        <v>0.72</v>
      </c>
      <c r="L8" s="63">
        <f>C8*K8</f>
        <v>455.47199999999998</v>
      </c>
      <c r="M8" s="502">
        <f>L8/D8</f>
        <v>10.8</v>
      </c>
    </row>
    <row r="9" spans="1:21">
      <c r="A9" s="8" t="s">
        <v>197</v>
      </c>
      <c r="B9" s="8">
        <v>2036</v>
      </c>
      <c r="C9" s="8">
        <v>649.9</v>
      </c>
      <c r="D9" s="8">
        <v>43.3</v>
      </c>
      <c r="E9" s="8">
        <v>26</v>
      </c>
      <c r="F9" s="111">
        <f>D9/E9</f>
        <v>1.6653846153846152</v>
      </c>
      <c r="I9">
        <v>600</v>
      </c>
      <c r="K9">
        <v>0.72</v>
      </c>
      <c r="L9" s="63">
        <f>C9*K9</f>
        <v>467.92799999999994</v>
      </c>
      <c r="M9" s="502">
        <f>L9/D9</f>
        <v>10.806651270207851</v>
      </c>
    </row>
    <row r="10" spans="1:21" ht="13" customHeight="1"/>
    <row r="11" spans="1:21">
      <c r="A11" s="13" t="s">
        <v>703</v>
      </c>
      <c r="O11" s="13" t="s">
        <v>218</v>
      </c>
    </row>
    <row r="12" spans="1:21">
      <c r="C12" s="8" t="s">
        <v>544</v>
      </c>
      <c r="D12" s="8" t="s">
        <v>546</v>
      </c>
      <c r="G12" s="2" t="s">
        <v>423</v>
      </c>
      <c r="L12" s="2" t="s">
        <v>423</v>
      </c>
      <c r="M12" s="2" t="s">
        <v>423</v>
      </c>
      <c r="O12" t="s">
        <v>568</v>
      </c>
    </row>
    <row r="13" spans="1:21" ht="17">
      <c r="A13" s="8"/>
      <c r="B13" s="8"/>
      <c r="C13" s="8" t="s">
        <v>214</v>
      </c>
      <c r="D13" s="8" t="s">
        <v>545</v>
      </c>
      <c r="F13" s="8" t="s">
        <v>232</v>
      </c>
      <c r="G13" s="2" t="s">
        <v>469</v>
      </c>
      <c r="L13" s="2" t="s">
        <v>469</v>
      </c>
      <c r="M13" s="8" t="s">
        <v>471</v>
      </c>
      <c r="O13" s="465" t="s">
        <v>567</v>
      </c>
      <c r="R13" s="465"/>
    </row>
    <row r="14" spans="1:21">
      <c r="A14" s="8" t="s">
        <v>43</v>
      </c>
      <c r="B14" s="8"/>
      <c r="C14" s="8" t="s">
        <v>215</v>
      </c>
      <c r="D14" s="8" t="s">
        <v>19</v>
      </c>
      <c r="F14" s="8" t="s">
        <v>233</v>
      </c>
      <c r="G14" s="2" t="s">
        <v>424</v>
      </c>
      <c r="I14" s="8" t="s">
        <v>429</v>
      </c>
      <c r="J14" s="8"/>
      <c r="K14" s="8"/>
      <c r="L14" s="2" t="s">
        <v>700</v>
      </c>
      <c r="M14" s="8" t="s">
        <v>221</v>
      </c>
      <c r="O14" s="10" t="s">
        <v>571</v>
      </c>
      <c r="U14" t="s">
        <v>679</v>
      </c>
    </row>
    <row r="15" spans="1:21" ht="18" thickBot="1">
      <c r="A15" s="31" t="s">
        <v>196</v>
      </c>
      <c r="B15" s="31" t="s">
        <v>43</v>
      </c>
      <c r="C15" s="31" t="s">
        <v>217</v>
      </c>
      <c r="D15" s="31" t="s">
        <v>216</v>
      </c>
      <c r="E15" s="31" t="s">
        <v>219</v>
      </c>
      <c r="F15" s="31" t="s">
        <v>216</v>
      </c>
      <c r="G15" s="67" t="s">
        <v>221</v>
      </c>
      <c r="I15" s="353" t="s">
        <v>428</v>
      </c>
      <c r="J15" s="353"/>
      <c r="K15" s="353"/>
      <c r="L15" s="67" t="s">
        <v>701</v>
      </c>
      <c r="M15" s="413" t="s">
        <v>472</v>
      </c>
      <c r="O15" s="465" t="s">
        <v>569</v>
      </c>
    </row>
    <row r="16" spans="1:21" ht="16" thickTop="1">
      <c r="A16" s="8" t="s">
        <v>206</v>
      </c>
      <c r="B16" s="8">
        <v>2017</v>
      </c>
      <c r="C16" s="8">
        <f>D16*15</f>
        <v>690</v>
      </c>
      <c r="D16" s="8">
        <v>46</v>
      </c>
      <c r="E16" s="8">
        <v>16</v>
      </c>
      <c r="F16" s="111">
        <f>D16/E16</f>
        <v>2.875</v>
      </c>
      <c r="G16" s="698">
        <f>F16/F$9</f>
        <v>1.7263279445727484</v>
      </c>
      <c r="I16">
        <v>334</v>
      </c>
      <c r="L16" s="698">
        <f>I9/I$16</f>
        <v>1.7964071856287425</v>
      </c>
      <c r="M16" s="698">
        <f>G16*L16</f>
        <v>3.1011879243821827</v>
      </c>
      <c r="O16" t="s">
        <v>570</v>
      </c>
    </row>
    <row r="17" spans="1:15">
      <c r="A17" t="s">
        <v>425</v>
      </c>
    </row>
    <row r="19" spans="1:15">
      <c r="A19" s="13" t="s">
        <v>618</v>
      </c>
    </row>
    <row r="20" spans="1:15">
      <c r="C20" s="8" t="s">
        <v>544</v>
      </c>
      <c r="D20" s="8" t="s">
        <v>546</v>
      </c>
      <c r="G20" s="2" t="s">
        <v>423</v>
      </c>
      <c r="O20" t="s">
        <v>616</v>
      </c>
    </row>
    <row r="21" spans="1:15">
      <c r="A21" s="8"/>
      <c r="B21" s="8"/>
      <c r="C21" s="8" t="s">
        <v>214</v>
      </c>
      <c r="D21" s="8" t="s">
        <v>545</v>
      </c>
      <c r="F21" s="8" t="s">
        <v>232</v>
      </c>
      <c r="G21" s="2" t="s">
        <v>702</v>
      </c>
      <c r="M21" s="8" t="s">
        <v>621</v>
      </c>
      <c r="O21" t="s">
        <v>617</v>
      </c>
    </row>
    <row r="22" spans="1:15">
      <c r="A22" s="8" t="s">
        <v>43</v>
      </c>
      <c r="B22" s="8"/>
      <c r="C22" s="8" t="s">
        <v>215</v>
      </c>
      <c r="D22" s="8" t="s">
        <v>19</v>
      </c>
      <c r="F22" s="8" t="s">
        <v>233</v>
      </c>
      <c r="G22" s="2" t="s">
        <v>424</v>
      </c>
      <c r="M22" s="8" t="s">
        <v>622</v>
      </c>
      <c r="O22" t="s">
        <v>425</v>
      </c>
    </row>
    <row r="23" spans="1:15" ht="16" thickBot="1">
      <c r="A23" s="31" t="s">
        <v>196</v>
      </c>
      <c r="B23" s="31" t="s">
        <v>43</v>
      </c>
      <c r="C23" s="31" t="s">
        <v>217</v>
      </c>
      <c r="D23" s="31" t="s">
        <v>216</v>
      </c>
      <c r="E23" s="31" t="s">
        <v>219</v>
      </c>
      <c r="F23" s="31" t="s">
        <v>216</v>
      </c>
      <c r="G23" s="67" t="s">
        <v>221</v>
      </c>
      <c r="L23" s="30" t="s">
        <v>621</v>
      </c>
      <c r="M23" s="31" t="s">
        <v>623</v>
      </c>
      <c r="O23" t="s">
        <v>620</v>
      </c>
    </row>
    <row r="24" spans="1:15" ht="16" thickTop="1">
      <c r="A24" s="8" t="s">
        <v>206</v>
      </c>
      <c r="B24" s="8">
        <v>2017</v>
      </c>
      <c r="C24" s="8">
        <f>D24*15</f>
        <v>1575</v>
      </c>
      <c r="D24" s="8">
        <v>105</v>
      </c>
      <c r="E24" s="8">
        <v>32</v>
      </c>
      <c r="F24" s="111">
        <f>D24/E24</f>
        <v>3.28125</v>
      </c>
      <c r="G24" s="698">
        <f>F24/F$9</f>
        <v>1.9702655889145497</v>
      </c>
      <c r="L24">
        <v>122</v>
      </c>
      <c r="M24" s="502">
        <f>L24/D24</f>
        <v>1.161904761904762</v>
      </c>
      <c r="O24" t="s">
        <v>619</v>
      </c>
    </row>
    <row r="25" spans="1:15">
      <c r="A25" t="s">
        <v>425</v>
      </c>
    </row>
    <row r="28" spans="1:15">
      <c r="A28" s="10" t="s">
        <v>223</v>
      </c>
    </row>
    <row r="29" spans="1:15">
      <c r="C29" s="8" t="s">
        <v>544</v>
      </c>
      <c r="D29" s="8" t="s">
        <v>546</v>
      </c>
      <c r="G29" s="2" t="s">
        <v>423</v>
      </c>
    </row>
    <row r="30" spans="1:15">
      <c r="A30" s="8"/>
      <c r="B30" s="8"/>
      <c r="C30" s="8" t="s">
        <v>214</v>
      </c>
      <c r="D30" s="8" t="s">
        <v>545</v>
      </c>
      <c r="F30" s="8" t="s">
        <v>232</v>
      </c>
      <c r="G30" s="2" t="s">
        <v>129</v>
      </c>
    </row>
    <row r="31" spans="1:15">
      <c r="A31" s="8" t="s">
        <v>43</v>
      </c>
      <c r="B31" s="8"/>
      <c r="C31" s="8" t="s">
        <v>215</v>
      </c>
      <c r="D31" s="8" t="s">
        <v>19</v>
      </c>
      <c r="F31" s="8" t="s">
        <v>233</v>
      </c>
      <c r="G31" s="2" t="s">
        <v>424</v>
      </c>
      <c r="I31" s="8" t="s">
        <v>429</v>
      </c>
      <c r="J31" s="8"/>
      <c r="K31" s="8"/>
    </row>
    <row r="32" spans="1:15" ht="16" thickBot="1">
      <c r="A32" s="31" t="s">
        <v>196</v>
      </c>
      <c r="B32" s="31" t="s">
        <v>43</v>
      </c>
      <c r="C32" s="31" t="s">
        <v>217</v>
      </c>
      <c r="D32" s="31" t="s">
        <v>216</v>
      </c>
      <c r="E32" s="31" t="s">
        <v>219</v>
      </c>
      <c r="F32" s="31" t="s">
        <v>216</v>
      </c>
      <c r="G32" s="67" t="s">
        <v>221</v>
      </c>
      <c r="I32" s="353" t="s">
        <v>428</v>
      </c>
      <c r="J32" s="503"/>
      <c r="K32" s="503"/>
    </row>
    <row r="33" spans="1:11" ht="16" thickTop="1">
      <c r="A33" s="8" t="s">
        <v>197</v>
      </c>
      <c r="B33" s="8">
        <v>2017</v>
      </c>
      <c r="C33" s="8">
        <f>D33*15</f>
        <v>952.5</v>
      </c>
      <c r="D33" s="8">
        <v>63.5</v>
      </c>
      <c r="E33" s="8">
        <v>22</v>
      </c>
      <c r="F33" s="111">
        <f>D33/E33</f>
        <v>2.8863636363636362</v>
      </c>
      <c r="G33" s="698">
        <f>F33/F$9</f>
        <v>1.7331513751837078</v>
      </c>
      <c r="I33">
        <v>300</v>
      </c>
    </row>
    <row r="34" spans="1:11">
      <c r="A34" t="s">
        <v>133</v>
      </c>
    </row>
    <row r="36" spans="1:11">
      <c r="A36" s="10" t="s">
        <v>426</v>
      </c>
    </row>
    <row r="37" spans="1:11">
      <c r="C37" s="8" t="s">
        <v>544</v>
      </c>
      <c r="D37" s="8" t="s">
        <v>546</v>
      </c>
      <c r="G37" s="2" t="s">
        <v>423</v>
      </c>
    </row>
    <row r="38" spans="1:11">
      <c r="A38" s="8"/>
      <c r="B38" s="8"/>
      <c r="C38" s="8" t="s">
        <v>214</v>
      </c>
      <c r="D38" s="8" t="s">
        <v>545</v>
      </c>
      <c r="F38" s="8" t="s">
        <v>232</v>
      </c>
      <c r="G38" s="2" t="s">
        <v>468</v>
      </c>
    </row>
    <row r="39" spans="1:11">
      <c r="A39" s="8" t="s">
        <v>43</v>
      </c>
      <c r="B39" s="8"/>
      <c r="C39" s="8" t="s">
        <v>215</v>
      </c>
      <c r="D39" s="8" t="s">
        <v>19</v>
      </c>
      <c r="F39" s="8" t="s">
        <v>233</v>
      </c>
      <c r="G39" s="2" t="s">
        <v>424</v>
      </c>
      <c r="I39" s="8" t="s">
        <v>429</v>
      </c>
      <c r="J39" s="8"/>
      <c r="K39" s="8"/>
    </row>
    <row r="40" spans="1:11" ht="16" thickBot="1">
      <c r="A40" s="31" t="s">
        <v>196</v>
      </c>
      <c r="B40" s="31" t="s">
        <v>43</v>
      </c>
      <c r="C40" s="31" t="s">
        <v>217</v>
      </c>
      <c r="D40" s="31" t="s">
        <v>216</v>
      </c>
      <c r="E40" s="31" t="s">
        <v>219</v>
      </c>
      <c r="F40" s="31" t="s">
        <v>216</v>
      </c>
      <c r="G40" s="67" t="s">
        <v>221</v>
      </c>
      <c r="I40" s="353" t="s">
        <v>428</v>
      </c>
      <c r="J40" s="503"/>
      <c r="K40" s="503"/>
    </row>
    <row r="41" spans="1:11" ht="16" thickTop="1">
      <c r="A41" s="8" t="s">
        <v>321</v>
      </c>
      <c r="B41" s="8">
        <v>2016</v>
      </c>
      <c r="C41" s="8">
        <f>D41*15</f>
        <v>867</v>
      </c>
      <c r="D41" s="8">
        <v>57.8</v>
      </c>
      <c r="E41" s="8">
        <v>18</v>
      </c>
      <c r="F41" s="111">
        <f>D41/E41</f>
        <v>3.2111111111111108</v>
      </c>
      <c r="G41" s="698">
        <f>F41/F$9</f>
        <v>1.9281498588657942</v>
      </c>
      <c r="I41">
        <v>320</v>
      </c>
    </row>
    <row r="42" spans="1:11">
      <c r="A42" t="s">
        <v>427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O22"/>
  <sheetViews>
    <sheetView workbookViewId="0">
      <selection activeCell="O2" sqref="O2"/>
    </sheetView>
  </sheetViews>
  <sheetFormatPr baseColWidth="10" defaultRowHeight="15" x14ac:dyDescent="0"/>
  <cols>
    <col min="1" max="1" width="2.6640625" customWidth="1"/>
    <col min="2" max="2" width="6.1640625" customWidth="1"/>
    <col min="3" max="3" width="14.6640625" customWidth="1"/>
    <col min="4" max="4" width="15.33203125" customWidth="1"/>
    <col min="5" max="5" width="11.33203125" customWidth="1"/>
    <col min="6" max="6" width="10.5" customWidth="1"/>
    <col min="7" max="7" width="9.6640625" customWidth="1"/>
    <col min="8" max="9" width="11.1640625" customWidth="1"/>
    <col min="10" max="11" width="8" customWidth="1"/>
    <col min="12" max="13" width="9" customWidth="1"/>
    <col min="14" max="14" width="8" customWidth="1"/>
    <col min="15" max="15" width="9" customWidth="1"/>
    <col min="16" max="16" width="3.1640625" customWidth="1"/>
  </cols>
  <sheetData>
    <row r="1" spans="2:15" ht="16" thickBot="1"/>
    <row r="2" spans="2:15" ht="19" thickBot="1">
      <c r="C2" s="485" t="s">
        <v>637</v>
      </c>
      <c r="D2" s="145"/>
      <c r="E2" s="145"/>
      <c r="F2" s="145"/>
      <c r="I2" s="513">
        <f>Simulateur!L5</f>
        <v>1.4</v>
      </c>
      <c r="J2" t="s">
        <v>638</v>
      </c>
    </row>
    <row r="3" spans="2:15" ht="16" thickBot="1"/>
    <row r="4" spans="2:15" ht="20" customHeight="1">
      <c r="C4" s="526" t="s">
        <v>628</v>
      </c>
      <c r="D4" s="527"/>
      <c r="E4" s="531"/>
      <c r="F4" s="527"/>
      <c r="G4" s="528"/>
      <c r="H4" s="522" t="s">
        <v>563</v>
      </c>
      <c r="I4" s="528"/>
      <c r="J4" s="606" t="s">
        <v>290</v>
      </c>
      <c r="K4" s="532"/>
      <c r="L4" s="526" t="s">
        <v>634</v>
      </c>
      <c r="M4" s="579"/>
      <c r="N4" s="415"/>
      <c r="O4" s="416"/>
    </row>
    <row r="5" spans="2:15" ht="20" customHeight="1">
      <c r="C5" s="419" t="s">
        <v>483</v>
      </c>
      <c r="D5" s="68"/>
      <c r="E5" s="419" t="s">
        <v>61</v>
      </c>
      <c r="F5" s="68" t="s">
        <v>625</v>
      </c>
      <c r="G5" s="418" t="s">
        <v>68</v>
      </c>
      <c r="H5" s="441" t="s">
        <v>75</v>
      </c>
      <c r="I5" s="418" t="s">
        <v>627</v>
      </c>
      <c r="J5" s="441" t="s">
        <v>629</v>
      </c>
      <c r="K5" s="545" t="s">
        <v>601</v>
      </c>
      <c r="L5" s="419" t="s">
        <v>630</v>
      </c>
      <c r="M5" s="68" t="s">
        <v>631</v>
      </c>
      <c r="N5" s="68" t="s">
        <v>635</v>
      </c>
      <c r="O5" s="418" t="s">
        <v>636</v>
      </c>
    </row>
    <row r="6" spans="2:15" ht="20" customHeight="1">
      <c r="C6" s="557" t="s">
        <v>196</v>
      </c>
      <c r="D6" s="558" t="s">
        <v>482</v>
      </c>
      <c r="E6" s="557" t="s">
        <v>62</v>
      </c>
      <c r="F6" s="558" t="s">
        <v>626</v>
      </c>
      <c r="G6" s="559" t="s">
        <v>562</v>
      </c>
      <c r="H6" s="577">
        <v>0.85</v>
      </c>
      <c r="I6" s="542" t="s">
        <v>565</v>
      </c>
      <c r="J6" s="544" t="s">
        <v>75</v>
      </c>
      <c r="K6" s="543" t="s">
        <v>75</v>
      </c>
      <c r="L6" s="560">
        <v>0.65</v>
      </c>
      <c r="M6" s="561">
        <v>0.115</v>
      </c>
      <c r="N6" s="562">
        <v>5.0000000000000001E-3</v>
      </c>
      <c r="O6" s="563">
        <v>0.23</v>
      </c>
    </row>
    <row r="7" spans="2:15" ht="20" customHeight="1">
      <c r="C7" s="486" t="s">
        <v>479</v>
      </c>
      <c r="D7" s="487" t="s">
        <v>77</v>
      </c>
      <c r="E7" s="490">
        <f>Simulateur!J9</f>
        <v>7.6189999999999998</v>
      </c>
      <c r="F7" s="489">
        <f>Simulateur!K9</f>
        <v>2.3039999999999998</v>
      </c>
      <c r="G7" s="506">
        <f>Simulateur!L9</f>
        <v>5.3150000000000004</v>
      </c>
      <c r="H7" s="524">
        <f>Simulateur!M9</f>
        <v>4.1360000000000001</v>
      </c>
      <c r="I7" s="506">
        <f>Simulateur!N9</f>
        <v>1.179</v>
      </c>
      <c r="J7" s="490">
        <f>Simulateur!O9</f>
        <v>0.62252388888888888</v>
      </c>
      <c r="K7" s="506">
        <f>Simulateur!P9</f>
        <v>-3.5134761111111117</v>
      </c>
      <c r="L7" s="565">
        <f>Simulateur!BB9*1000</f>
        <v>766.35</v>
      </c>
      <c r="M7" s="566">
        <f>Simulateur!BC9*1000</f>
        <v>135.58500000000001</v>
      </c>
      <c r="N7" s="566">
        <f>Simulateur!BD9*1000</f>
        <v>5.8950000000000005</v>
      </c>
      <c r="O7" s="567">
        <f>Simulateur!BE9*1000</f>
        <v>271.17</v>
      </c>
    </row>
    <row r="8" spans="2:15" ht="20" customHeight="1">
      <c r="C8" s="486" t="s">
        <v>480</v>
      </c>
      <c r="D8" s="487" t="s">
        <v>120</v>
      </c>
      <c r="E8" s="490">
        <f>Simulateur!J10</f>
        <v>17.367000000000001</v>
      </c>
      <c r="F8" s="489">
        <f>Simulateur!K10</f>
        <v>5.2530000000000001</v>
      </c>
      <c r="G8" s="506">
        <f>Simulateur!L10</f>
        <v>12.114000000000001</v>
      </c>
      <c r="H8" s="524">
        <f>Simulateur!M10</f>
        <v>9.5340000000000007</v>
      </c>
      <c r="I8" s="506">
        <f>Simulateur!N10</f>
        <v>2.581</v>
      </c>
      <c r="J8" s="490">
        <f>Simulateur!O10</f>
        <v>1.6243922222222213</v>
      </c>
      <c r="K8" s="506">
        <f>Simulateur!P10</f>
        <v>-7.9096077777777731</v>
      </c>
      <c r="L8" s="565">
        <f>Simulateur!BB10*1000</f>
        <v>1677.65</v>
      </c>
      <c r="M8" s="566">
        <f>Simulateur!BC10*1000</f>
        <v>296.815</v>
      </c>
      <c r="N8" s="566">
        <f>Simulateur!BD10*1000</f>
        <v>12.904999999999999</v>
      </c>
      <c r="O8" s="567">
        <f>Simulateur!BE10*1000</f>
        <v>593.63</v>
      </c>
    </row>
    <row r="9" spans="2:15" ht="20" customHeight="1" thickBot="1">
      <c r="C9" s="508" t="s">
        <v>606</v>
      </c>
      <c r="D9" s="509" t="s">
        <v>121</v>
      </c>
      <c r="E9" s="493">
        <f>Simulateur!J11</f>
        <v>68.775000000000006</v>
      </c>
      <c r="F9" s="492">
        <f>Simulateur!K11</f>
        <v>20.81</v>
      </c>
      <c r="G9" s="507">
        <f>Simulateur!L11</f>
        <v>47.965000000000003</v>
      </c>
      <c r="H9" s="525">
        <f>Simulateur!M11</f>
        <v>38.298999999999999</v>
      </c>
      <c r="I9" s="507">
        <f>Simulateur!N11</f>
        <v>9.67</v>
      </c>
      <c r="J9" s="493">
        <f>Simulateur!O11</f>
        <v>7.8886227777777904</v>
      </c>
      <c r="K9" s="507">
        <f>Simulateur!P11</f>
        <v>-30.410377222222191</v>
      </c>
      <c r="L9" s="568">
        <f>Simulateur!BB11*1000</f>
        <v>6285.5</v>
      </c>
      <c r="M9" s="569">
        <f>Simulateur!BC11*1000</f>
        <v>1112.05</v>
      </c>
      <c r="N9" s="569">
        <f>Simulateur!BD11*1000</f>
        <v>48.349999999999994</v>
      </c>
      <c r="O9" s="570">
        <f>Simulateur!BE11*1000</f>
        <v>2224.1</v>
      </c>
    </row>
    <row r="12" spans="2:15" ht="16" thickBot="1"/>
    <row r="13" spans="2:15" ht="16">
      <c r="D13" s="536" t="s">
        <v>677</v>
      </c>
      <c r="E13" s="599"/>
      <c r="F13" s="599"/>
      <c r="G13" s="600"/>
      <c r="H13" s="536" t="s">
        <v>639</v>
      </c>
      <c r="I13" s="600"/>
      <c r="J13" s="601" t="s">
        <v>641</v>
      </c>
      <c r="K13" s="602"/>
      <c r="L13" s="536" t="s">
        <v>649</v>
      </c>
      <c r="M13" s="579"/>
      <c r="N13" s="591"/>
    </row>
    <row r="14" spans="2:15" s="578" customFormat="1" ht="21" customHeight="1">
      <c r="D14" s="584" t="s">
        <v>16</v>
      </c>
      <c r="E14" s="580" t="s">
        <v>61</v>
      </c>
      <c r="F14" s="580" t="s">
        <v>625</v>
      </c>
      <c r="G14" s="597" t="s">
        <v>68</v>
      </c>
      <c r="H14" s="583" t="s">
        <v>75</v>
      </c>
      <c r="I14" s="594" t="s">
        <v>627</v>
      </c>
      <c r="J14" s="593" t="s">
        <v>640</v>
      </c>
      <c r="K14" s="592"/>
      <c r="L14" s="581" t="s">
        <v>630</v>
      </c>
      <c r="M14" s="431" t="s">
        <v>631</v>
      </c>
      <c r="N14" s="582" t="s">
        <v>636</v>
      </c>
    </row>
    <row r="15" spans="2:15" ht="21" customHeight="1">
      <c r="B15" s="32"/>
      <c r="D15" s="585" t="s">
        <v>479</v>
      </c>
      <c r="E15" s="586" t="s">
        <v>62</v>
      </c>
      <c r="F15" s="586" t="s">
        <v>626</v>
      </c>
      <c r="G15" s="598" t="s">
        <v>648</v>
      </c>
      <c r="H15" s="595" t="s">
        <v>647</v>
      </c>
      <c r="I15" s="596" t="s">
        <v>565</v>
      </c>
      <c r="J15" s="587" t="s">
        <v>629</v>
      </c>
      <c r="K15" s="588" t="s">
        <v>601</v>
      </c>
      <c r="L15" s="589">
        <v>0.65</v>
      </c>
      <c r="M15" s="590">
        <v>0.115</v>
      </c>
      <c r="N15" s="603">
        <v>0.23499999999999999</v>
      </c>
    </row>
    <row r="16" spans="2:15" ht="22" customHeight="1">
      <c r="D16" s="541" t="s">
        <v>642</v>
      </c>
      <c r="E16" s="489">
        <v>5.641</v>
      </c>
      <c r="F16" s="489">
        <v>1.645581</v>
      </c>
      <c r="G16" s="506">
        <v>3.9954190000000001</v>
      </c>
      <c r="H16" s="524">
        <v>3.012</v>
      </c>
      <c r="I16" s="506">
        <v>0.98199999999999998</v>
      </c>
      <c r="J16" s="489">
        <v>4.8239999999999998E-2</v>
      </c>
      <c r="K16" s="506">
        <v>-2.9637600000000002</v>
      </c>
      <c r="L16" s="571">
        <v>638.29999999999995</v>
      </c>
      <c r="M16" s="572">
        <v>112.93</v>
      </c>
      <c r="N16" s="567">
        <v>230.77</v>
      </c>
    </row>
    <row r="17" spans="4:14" ht="22" customHeight="1">
      <c r="D17" s="510" t="s">
        <v>643</v>
      </c>
      <c r="E17" s="511">
        <v>6.4880000000000004</v>
      </c>
      <c r="F17" s="511">
        <v>1.8924181499999999</v>
      </c>
      <c r="G17" s="512">
        <v>4.5955818500000003</v>
      </c>
      <c r="H17" s="539">
        <v>3.5259999999999998</v>
      </c>
      <c r="I17" s="512">
        <v>1.071</v>
      </c>
      <c r="J17" s="511">
        <v>0.29592000000000002</v>
      </c>
      <c r="K17" s="512">
        <v>-3.2300800000000001</v>
      </c>
      <c r="L17" s="571">
        <v>696.15000000000009</v>
      </c>
      <c r="M17" s="572">
        <v>123.16499999999999</v>
      </c>
      <c r="N17" s="573">
        <v>251.68499999999997</v>
      </c>
    </row>
    <row r="18" spans="4:14" ht="22" customHeight="1">
      <c r="D18" s="510" t="s">
        <v>644</v>
      </c>
      <c r="E18" s="511">
        <v>7.6189999999999998</v>
      </c>
      <c r="F18" s="511">
        <v>2.3038134000000001</v>
      </c>
      <c r="G18" s="512">
        <v>5.3151865999999997</v>
      </c>
      <c r="H18" s="539">
        <v>4.1369999999999996</v>
      </c>
      <c r="I18" s="512">
        <v>1.179</v>
      </c>
      <c r="J18" s="511">
        <v>0.62252388888888888</v>
      </c>
      <c r="K18" s="512">
        <v>-3.5144761111111116</v>
      </c>
      <c r="L18" s="571">
        <v>766.35</v>
      </c>
      <c r="M18" s="572">
        <v>135.58500000000001</v>
      </c>
      <c r="N18" s="573">
        <v>277.065</v>
      </c>
    </row>
    <row r="19" spans="4:14" ht="22" customHeight="1">
      <c r="D19" s="510" t="s">
        <v>645</v>
      </c>
      <c r="E19" s="511">
        <v>8.1929999999999996</v>
      </c>
      <c r="F19" s="511">
        <v>2.8797667499999999</v>
      </c>
      <c r="G19" s="512">
        <v>5.3132332499999997</v>
      </c>
      <c r="H19" s="539">
        <v>4.133</v>
      </c>
      <c r="I19" s="512">
        <v>1.179</v>
      </c>
      <c r="J19" s="511">
        <v>0.76162777777777768</v>
      </c>
      <c r="K19" s="512">
        <v>-3.3713722222222229</v>
      </c>
      <c r="L19" s="571">
        <v>765.7</v>
      </c>
      <c r="M19" s="572">
        <v>135.47</v>
      </c>
      <c r="N19" s="573">
        <v>276.83</v>
      </c>
    </row>
    <row r="20" spans="4:14" ht="22" customHeight="1" thickBot="1">
      <c r="D20" s="505" t="s">
        <v>646</v>
      </c>
      <c r="E20" s="537">
        <v>8.6050000000000004</v>
      </c>
      <c r="F20" s="537">
        <v>3.2911619999999999</v>
      </c>
      <c r="G20" s="538">
        <v>5.3138379999999996</v>
      </c>
      <c r="H20" s="540">
        <v>4.1349999999999998</v>
      </c>
      <c r="I20" s="538">
        <v>1.1779999999999999</v>
      </c>
      <c r="J20" s="537">
        <v>0.85894277777777772</v>
      </c>
      <c r="K20" s="538">
        <v>-3.2760572222222226</v>
      </c>
      <c r="L20" s="574">
        <v>765.7</v>
      </c>
      <c r="M20" s="575">
        <v>135.47</v>
      </c>
      <c r="N20" s="576">
        <v>276.83</v>
      </c>
    </row>
    <row r="21" spans="4:14" ht="21" customHeight="1">
      <c r="D21" s="604" t="s">
        <v>678</v>
      </c>
    </row>
    <row r="22" spans="4:14" ht="21" customHeight="1"/>
  </sheetData>
  <phoneticPr fontId="54" type="noConversion"/>
  <pageMargins left="0.75000000000000011" right="0.75000000000000011" top="1" bottom="1" header="0.5" footer="0.5"/>
  <pageSetup scale="9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7"/>
  <sheetViews>
    <sheetView topLeftCell="C159" zoomScale="125" zoomScaleNormal="125" zoomScalePageLayoutView="125" workbookViewId="0">
      <selection activeCell="P167" sqref="P167"/>
    </sheetView>
  </sheetViews>
  <sheetFormatPr baseColWidth="10" defaultRowHeight="15" x14ac:dyDescent="0"/>
  <cols>
    <col min="1" max="1" width="13.33203125" customWidth="1"/>
    <col min="2" max="2" width="13.5" customWidth="1"/>
    <col min="3" max="3" width="13.1640625" customWidth="1"/>
    <col min="4" max="4" width="13" customWidth="1"/>
    <col min="5" max="5" width="12.83203125" customWidth="1"/>
    <col min="6" max="6" width="13.83203125" customWidth="1"/>
    <col min="8" max="8" width="11.1640625" customWidth="1"/>
    <col min="9" max="9" width="13.33203125" customWidth="1"/>
    <col min="12" max="12" width="11.83203125" customWidth="1"/>
    <col min="15" max="15" width="2.33203125" customWidth="1"/>
    <col min="20" max="20" width="11.83203125" customWidth="1"/>
    <col min="21" max="21" width="12.6640625" customWidth="1"/>
  </cols>
  <sheetData>
    <row r="1" spans="1:1">
      <c r="A1" s="10" t="s">
        <v>152</v>
      </c>
    </row>
    <row r="2" spans="1:1">
      <c r="A2" s="472" t="s">
        <v>1</v>
      </c>
    </row>
    <row r="3" spans="1:1">
      <c r="A3" s="82" t="s">
        <v>88</v>
      </c>
    </row>
    <row r="4" spans="1:1">
      <c r="A4" s="82" t="s">
        <v>87</v>
      </c>
    </row>
    <row r="5" spans="1:1">
      <c r="A5" t="s">
        <v>89</v>
      </c>
    </row>
    <row r="19" spans="1:12">
      <c r="A19" s="10" t="s">
        <v>235</v>
      </c>
    </row>
    <row r="20" spans="1:12">
      <c r="A20" t="s">
        <v>234</v>
      </c>
    </row>
    <row r="22" spans="1:12">
      <c r="A22" s="10" t="s">
        <v>60</v>
      </c>
    </row>
    <row r="23" spans="1:12">
      <c r="A23" t="s">
        <v>98</v>
      </c>
    </row>
    <row r="24" spans="1:12">
      <c r="A24" t="s">
        <v>59</v>
      </c>
    </row>
    <row r="25" spans="1:12">
      <c r="A25" t="s">
        <v>99</v>
      </c>
    </row>
    <row r="27" spans="1:12">
      <c r="A27" s="14" t="s">
        <v>486</v>
      </c>
    </row>
    <row r="28" spans="1:12" ht="16" thickBot="1">
      <c r="A28" s="14" t="s">
        <v>500</v>
      </c>
    </row>
    <row r="29" spans="1:12">
      <c r="A29" s="414" t="s">
        <v>561</v>
      </c>
      <c r="B29" s="415"/>
      <c r="C29" s="415"/>
      <c r="D29" s="415"/>
      <c r="E29" s="416"/>
      <c r="G29" s="424" t="s">
        <v>485</v>
      </c>
      <c r="H29" s="425"/>
      <c r="I29" s="425"/>
      <c r="J29" s="425"/>
      <c r="K29" s="425"/>
      <c r="L29" s="426"/>
    </row>
    <row r="30" spans="1:12">
      <c r="A30" s="417"/>
      <c r="B30" s="285"/>
      <c r="C30" s="285"/>
      <c r="D30" s="285"/>
      <c r="E30" s="418" t="s">
        <v>68</v>
      </c>
      <c r="G30" s="351"/>
      <c r="H30" s="32"/>
      <c r="I30" s="32"/>
      <c r="J30" s="32"/>
      <c r="K30" s="83" t="s">
        <v>69</v>
      </c>
      <c r="L30" s="352"/>
    </row>
    <row r="31" spans="1:12">
      <c r="A31" s="417"/>
      <c r="B31" s="285"/>
      <c r="C31" s="68" t="s">
        <v>61</v>
      </c>
      <c r="D31" s="68" t="s">
        <v>65</v>
      </c>
      <c r="E31" s="418" t="s">
        <v>478</v>
      </c>
      <c r="G31" s="427" t="s">
        <v>71</v>
      </c>
      <c r="H31" s="428" t="s">
        <v>71</v>
      </c>
      <c r="I31" s="428" t="s">
        <v>26</v>
      </c>
      <c r="J31" s="429" t="s">
        <v>71</v>
      </c>
      <c r="K31" s="430"/>
      <c r="L31" s="352"/>
    </row>
    <row r="32" spans="1:12">
      <c r="A32" s="417"/>
      <c r="B32" s="285"/>
      <c r="C32" s="68" t="s">
        <v>62</v>
      </c>
      <c r="D32" s="68" t="s">
        <v>66</v>
      </c>
      <c r="E32" s="418" t="s">
        <v>113</v>
      </c>
      <c r="G32" s="427" t="s">
        <v>72</v>
      </c>
      <c r="H32" s="428" t="s">
        <v>72</v>
      </c>
      <c r="I32" s="428" t="s">
        <v>72</v>
      </c>
      <c r="J32" s="429" t="s">
        <v>75</v>
      </c>
      <c r="K32" s="431" t="s">
        <v>26</v>
      </c>
      <c r="L32" s="352"/>
    </row>
    <row r="33" spans="1:12">
      <c r="A33" s="419" t="s">
        <v>483</v>
      </c>
      <c r="B33" s="68"/>
      <c r="C33" s="68" t="s">
        <v>70</v>
      </c>
      <c r="D33" s="68" t="s">
        <v>67</v>
      </c>
      <c r="E33" s="418" t="s">
        <v>110</v>
      </c>
      <c r="G33" s="420" t="s">
        <v>73</v>
      </c>
      <c r="H33" s="432">
        <v>0.15</v>
      </c>
      <c r="I33" s="432"/>
      <c r="J33" s="432">
        <v>0.85</v>
      </c>
      <c r="K33" s="285"/>
      <c r="L33" s="352"/>
    </row>
    <row r="34" spans="1:12">
      <c r="A34" s="419" t="s">
        <v>196</v>
      </c>
      <c r="B34" s="68" t="s">
        <v>482</v>
      </c>
      <c r="C34" s="68" t="s">
        <v>29</v>
      </c>
      <c r="D34" s="68" t="s">
        <v>29</v>
      </c>
      <c r="E34" s="418" t="s">
        <v>29</v>
      </c>
      <c r="G34" s="420" t="s">
        <v>29</v>
      </c>
      <c r="H34" s="33" t="s">
        <v>29</v>
      </c>
      <c r="I34" s="33" t="s">
        <v>29</v>
      </c>
      <c r="J34" s="33" t="s">
        <v>29</v>
      </c>
      <c r="K34" s="68" t="s">
        <v>29</v>
      </c>
      <c r="L34" s="352"/>
    </row>
    <row r="35" spans="1:12">
      <c r="A35" s="420" t="s">
        <v>479</v>
      </c>
      <c r="B35" s="33" t="s">
        <v>77</v>
      </c>
      <c r="C35" s="16">
        <f>SUM(D79:D93)</f>
        <v>5641.9920000000002</v>
      </c>
      <c r="D35" s="16">
        <f>SUM(F79:F93)</f>
        <v>1645.5809999999999</v>
      </c>
      <c r="E35" s="421">
        <f>SUM(G79:G93)</f>
        <v>3996.4110000000001</v>
      </c>
      <c r="G35" s="433">
        <f>SUM(I79:I93)</f>
        <v>450</v>
      </c>
      <c r="H35" s="16">
        <f>SUM(J79:J93)</f>
        <v>531.96164999999985</v>
      </c>
      <c r="I35" s="16">
        <f>SUM(K79:K93)</f>
        <v>981.96165000000008</v>
      </c>
      <c r="J35" s="434">
        <f>SUM(L79:L93)</f>
        <v>3014.4493499999999</v>
      </c>
      <c r="K35" s="373">
        <f>SUM(M79:M93)</f>
        <v>3996.4110000000001</v>
      </c>
      <c r="L35" s="352"/>
    </row>
    <row r="36" spans="1:12">
      <c r="A36" s="420" t="s">
        <v>480</v>
      </c>
      <c r="B36" s="33" t="s">
        <v>120</v>
      </c>
      <c r="C36" s="16">
        <f>SUM(D79:D108)</f>
        <v>12862.915841185184</v>
      </c>
      <c r="D36" s="16">
        <f>SUM(F79:F108)</f>
        <v>3751.6837870123459</v>
      </c>
      <c r="E36" s="421">
        <f>SUM(G79:G108)</f>
        <v>9111.2320541728386</v>
      </c>
      <c r="G36" s="433">
        <f>SUM(I79:I108)</f>
        <v>900</v>
      </c>
      <c r="H36" s="16">
        <f>SUM(J79:J108)</f>
        <v>1231.6848081259257</v>
      </c>
      <c r="I36" s="16">
        <f>SUM(K79:K108)</f>
        <v>2131.6848081259259</v>
      </c>
      <c r="J36" s="434">
        <f>SUM(L79:L108)</f>
        <v>6979.5472460469118</v>
      </c>
      <c r="K36" s="373">
        <f>SUM(M79:M108)</f>
        <v>9111.2320541728386</v>
      </c>
      <c r="L36" s="352"/>
    </row>
    <row r="37" spans="1:12" ht="16" thickBot="1">
      <c r="A37" s="422" t="s">
        <v>481</v>
      </c>
      <c r="B37" s="36" t="s">
        <v>121</v>
      </c>
      <c r="C37" s="137">
        <f>SUM(D79:D175)</f>
        <v>50951.537223361018</v>
      </c>
      <c r="D37" s="137">
        <f>SUM(F79:F175)</f>
        <v>14860.865023480295</v>
      </c>
      <c r="E37" s="423">
        <f>SUM(G79:G175)</f>
        <v>36090.672199880726</v>
      </c>
      <c r="G37" s="435">
        <f>SUM(I79:I175)</f>
        <v>2910</v>
      </c>
      <c r="H37" s="137">
        <f>SUM(J79:J175)</f>
        <v>4977.1008299821078</v>
      </c>
      <c r="I37" s="137">
        <f>SUM(K79:K175)</f>
        <v>7887.1008299821115</v>
      </c>
      <c r="J37" s="436">
        <f>SUM(L79:L175)</f>
        <v>28203.571369898611</v>
      </c>
      <c r="K37" s="437">
        <f>SUM(M79:M175)</f>
        <v>36090.672199880726</v>
      </c>
      <c r="L37" s="204"/>
    </row>
    <row r="39" spans="1:12">
      <c r="A39" t="s">
        <v>484</v>
      </c>
    </row>
    <row r="46" spans="1:12">
      <c r="G46" s="10" t="s">
        <v>487</v>
      </c>
    </row>
    <row r="47" spans="1:12">
      <c r="G47" t="s">
        <v>489</v>
      </c>
    </row>
    <row r="48" spans="1:12">
      <c r="G48" t="s">
        <v>488</v>
      </c>
    </row>
    <row r="66" spans="1:22">
      <c r="G66" t="s">
        <v>490</v>
      </c>
    </row>
    <row r="67" spans="1:22">
      <c r="G67" t="s">
        <v>491</v>
      </c>
    </row>
    <row r="68" spans="1:22">
      <c r="G68" s="375" t="s">
        <v>492</v>
      </c>
    </row>
    <row r="69" spans="1:22">
      <c r="G69" s="375" t="s">
        <v>493</v>
      </c>
    </row>
    <row r="71" spans="1:22">
      <c r="G71" t="s">
        <v>494</v>
      </c>
    </row>
    <row r="72" spans="1:22">
      <c r="A72" s="37" t="s">
        <v>31</v>
      </c>
      <c r="G72" t="s">
        <v>495</v>
      </c>
    </row>
    <row r="74" spans="1:22">
      <c r="F74" s="2"/>
      <c r="G74" s="342" t="s">
        <v>69</v>
      </c>
      <c r="M74" s="52" t="s">
        <v>69</v>
      </c>
    </row>
    <row r="75" spans="1:22">
      <c r="D75" s="2" t="s">
        <v>61</v>
      </c>
      <c r="F75" s="2" t="s">
        <v>65</v>
      </c>
      <c r="G75" s="2"/>
      <c r="I75" s="371" t="s">
        <v>71</v>
      </c>
      <c r="J75" s="371" t="s">
        <v>71</v>
      </c>
      <c r="K75" s="371" t="s">
        <v>26</v>
      </c>
      <c r="L75" s="90" t="s">
        <v>71</v>
      </c>
      <c r="S75" s="2" t="s">
        <v>675</v>
      </c>
      <c r="V75" s="2" t="s">
        <v>674</v>
      </c>
    </row>
    <row r="76" spans="1:22">
      <c r="A76" s="10"/>
      <c r="B76" s="10"/>
      <c r="C76" s="2" t="s">
        <v>580</v>
      </c>
      <c r="D76" s="2" t="s">
        <v>62</v>
      </c>
      <c r="F76" s="2" t="s">
        <v>66</v>
      </c>
      <c r="G76" s="2"/>
      <c r="I76" s="371" t="s">
        <v>72</v>
      </c>
      <c r="J76" s="371" t="s">
        <v>72</v>
      </c>
      <c r="K76" s="371" t="s">
        <v>72</v>
      </c>
      <c r="L76" s="90" t="s">
        <v>75</v>
      </c>
      <c r="M76" t="s">
        <v>26</v>
      </c>
      <c r="S76" s="2" t="s">
        <v>471</v>
      </c>
      <c r="V76" s="2" t="s">
        <v>471</v>
      </c>
    </row>
    <row r="77" spans="1:22">
      <c r="A77" s="2" t="s">
        <v>64</v>
      </c>
      <c r="B77" s="2" t="s">
        <v>137</v>
      </c>
      <c r="C77" s="2" t="s">
        <v>85</v>
      </c>
      <c r="D77" s="2" t="s">
        <v>70</v>
      </c>
      <c r="F77" s="2" t="s">
        <v>67</v>
      </c>
      <c r="G77" s="2" t="s">
        <v>68</v>
      </c>
      <c r="I77" s="8" t="s">
        <v>73</v>
      </c>
      <c r="J77" s="206">
        <v>0.15</v>
      </c>
      <c r="K77" s="206"/>
      <c r="L77" s="206">
        <v>0.85</v>
      </c>
      <c r="S77" s="2" t="s">
        <v>673</v>
      </c>
      <c r="V77" s="2" t="s">
        <v>676</v>
      </c>
    </row>
    <row r="78" spans="1:22">
      <c r="A78" s="10" t="s">
        <v>473</v>
      </c>
      <c r="B78" s="520" t="s">
        <v>2</v>
      </c>
      <c r="C78" s="2" t="s">
        <v>4</v>
      </c>
      <c r="D78" s="2" t="s">
        <v>29</v>
      </c>
      <c r="F78" s="2" t="s">
        <v>29</v>
      </c>
      <c r="G78" s="2" t="s">
        <v>29</v>
      </c>
      <c r="I78" s="8" t="s">
        <v>29</v>
      </c>
      <c r="J78" s="8" t="s">
        <v>29</v>
      </c>
      <c r="K78" s="8"/>
      <c r="L78" s="8" t="s">
        <v>29</v>
      </c>
      <c r="M78" s="8" t="s">
        <v>29</v>
      </c>
      <c r="S78" s="2" t="s">
        <v>29</v>
      </c>
      <c r="V78" s="2" t="s">
        <v>29</v>
      </c>
    </row>
    <row r="79" spans="1:22">
      <c r="A79" s="8" t="s">
        <v>397</v>
      </c>
      <c r="B79" s="338">
        <v>2021</v>
      </c>
      <c r="C79" s="60">
        <v>72.599999999999994</v>
      </c>
      <c r="D79" s="11">
        <f t="shared" ref="D79:D110" si="0">C79*0.72</f>
        <v>52.271999999999991</v>
      </c>
      <c r="F79" s="19">
        <f>C79*0.21</f>
        <v>15.245999999999999</v>
      </c>
      <c r="G79" s="395">
        <f t="shared" ref="G79:G110" si="1">D79-F79</f>
        <v>37.025999999999996</v>
      </c>
      <c r="I79">
        <v>30</v>
      </c>
      <c r="J79" s="63">
        <f t="shared" ref="J79:J110" si="2">(G79-I79)*0.15</f>
        <v>1.0538999999999994</v>
      </c>
      <c r="K79" s="63">
        <f>I79+J79</f>
        <v>31.053899999999999</v>
      </c>
      <c r="L79" s="63">
        <f t="shared" ref="L79:L110" si="3">(G79-I79)*0.85</f>
        <v>5.9720999999999966</v>
      </c>
      <c r="M79" s="63">
        <f>I79+J79+L79</f>
        <v>37.025999999999996</v>
      </c>
      <c r="S79">
        <v>80</v>
      </c>
      <c r="V79">
        <v>95</v>
      </c>
    </row>
    <row r="80" spans="1:22">
      <c r="A80" s="8" t="s">
        <v>199</v>
      </c>
      <c r="B80" s="338">
        <v>2022</v>
      </c>
      <c r="C80" s="60">
        <v>193.6</v>
      </c>
      <c r="D80" s="11">
        <f t="shared" si="0"/>
        <v>139.392</v>
      </c>
      <c r="F80" s="19">
        <f t="shared" ref="F80:F100" si="4">C80*0.21</f>
        <v>40.655999999999999</v>
      </c>
      <c r="G80" s="395">
        <f t="shared" si="1"/>
        <v>98.73599999999999</v>
      </c>
      <c r="I80">
        <v>30</v>
      </c>
      <c r="J80" s="63">
        <f t="shared" si="2"/>
        <v>10.310399999999998</v>
      </c>
      <c r="K80" s="63">
        <f t="shared" ref="K80:K143" si="5">I80+J80</f>
        <v>40.310400000000001</v>
      </c>
      <c r="L80" s="63">
        <f t="shared" si="3"/>
        <v>58.425599999999989</v>
      </c>
      <c r="M80" s="63">
        <f t="shared" ref="M80:M93" si="6">I80+J80+L80</f>
        <v>98.73599999999999</v>
      </c>
      <c r="S80">
        <v>213</v>
      </c>
      <c r="V80">
        <v>253</v>
      </c>
    </row>
    <row r="81" spans="1:22">
      <c r="A81" s="8" t="s">
        <v>200</v>
      </c>
      <c r="B81" s="338">
        <v>2023</v>
      </c>
      <c r="C81" s="60">
        <v>245.4</v>
      </c>
      <c r="D81" s="11">
        <f t="shared" si="0"/>
        <v>176.68799999999999</v>
      </c>
      <c r="F81" s="19">
        <f t="shared" si="4"/>
        <v>51.533999999999999</v>
      </c>
      <c r="G81" s="395">
        <f t="shared" si="1"/>
        <v>125.154</v>
      </c>
      <c r="I81">
        <v>30</v>
      </c>
      <c r="J81" s="63">
        <f t="shared" si="2"/>
        <v>14.273099999999999</v>
      </c>
      <c r="K81" s="63">
        <f t="shared" si="5"/>
        <v>44.273099999999999</v>
      </c>
      <c r="L81" s="63">
        <f t="shared" si="3"/>
        <v>80.880899999999997</v>
      </c>
      <c r="M81" s="63">
        <f t="shared" si="6"/>
        <v>125.154</v>
      </c>
      <c r="S81">
        <v>269</v>
      </c>
      <c r="V81">
        <v>321</v>
      </c>
    </row>
    <row r="82" spans="1:22">
      <c r="A82" s="8" t="s">
        <v>201</v>
      </c>
      <c r="B82" s="338">
        <v>2024</v>
      </c>
      <c r="C82" s="60">
        <v>499.8</v>
      </c>
      <c r="D82" s="11">
        <f t="shared" si="0"/>
        <v>359.85599999999999</v>
      </c>
      <c r="F82" s="19">
        <f t="shared" si="4"/>
        <v>104.958</v>
      </c>
      <c r="G82" s="395">
        <f t="shared" si="1"/>
        <v>254.898</v>
      </c>
      <c r="I82">
        <v>30</v>
      </c>
      <c r="J82" s="63">
        <f t="shared" si="2"/>
        <v>33.734699999999997</v>
      </c>
      <c r="K82" s="63">
        <f t="shared" si="5"/>
        <v>63.734699999999997</v>
      </c>
      <c r="L82" s="63">
        <f t="shared" si="3"/>
        <v>191.16329999999999</v>
      </c>
      <c r="M82" s="63">
        <f t="shared" si="6"/>
        <v>254.898</v>
      </c>
      <c r="S82">
        <v>549</v>
      </c>
      <c r="V82">
        <v>654</v>
      </c>
    </row>
    <row r="83" spans="1:22">
      <c r="A83" s="8" t="s">
        <v>202</v>
      </c>
      <c r="B83" s="338">
        <v>2025</v>
      </c>
      <c r="C83" s="60">
        <v>557.1</v>
      </c>
      <c r="D83" s="11">
        <f t="shared" si="0"/>
        <v>401.11200000000002</v>
      </c>
      <c r="F83" s="19">
        <f t="shared" si="4"/>
        <v>116.991</v>
      </c>
      <c r="G83" s="395">
        <f t="shared" si="1"/>
        <v>284.12100000000004</v>
      </c>
      <c r="I83">
        <v>30</v>
      </c>
      <c r="J83" s="63">
        <f t="shared" si="2"/>
        <v>38.118150000000007</v>
      </c>
      <c r="K83" s="63">
        <f t="shared" si="5"/>
        <v>68.118150000000014</v>
      </c>
      <c r="L83" s="63">
        <f t="shared" si="3"/>
        <v>216.00285000000002</v>
      </c>
      <c r="M83" s="63">
        <f t="shared" si="6"/>
        <v>284.12100000000004</v>
      </c>
      <c r="S83">
        <v>612</v>
      </c>
      <c r="V83">
        <v>729</v>
      </c>
    </row>
    <row r="84" spans="1:22">
      <c r="A84" s="408" t="s">
        <v>203</v>
      </c>
      <c r="B84" s="338">
        <v>2026</v>
      </c>
      <c r="C84" s="6">
        <v>593.9</v>
      </c>
      <c r="D84" s="12">
        <f t="shared" si="0"/>
        <v>427.60799999999995</v>
      </c>
      <c r="F84" s="19">
        <f t="shared" si="4"/>
        <v>124.71899999999999</v>
      </c>
      <c r="G84" s="395">
        <f t="shared" si="1"/>
        <v>302.88899999999995</v>
      </c>
      <c r="I84">
        <v>30</v>
      </c>
      <c r="J84" s="63">
        <f t="shared" si="2"/>
        <v>40.93334999999999</v>
      </c>
      <c r="K84" s="63">
        <f t="shared" si="5"/>
        <v>70.93334999999999</v>
      </c>
      <c r="L84" s="63">
        <f t="shared" si="3"/>
        <v>231.95564999999996</v>
      </c>
      <c r="M84" s="63">
        <f t="shared" si="6"/>
        <v>302.88899999999995</v>
      </c>
      <c r="S84">
        <v>652</v>
      </c>
      <c r="V84">
        <v>777</v>
      </c>
    </row>
    <row r="85" spans="1:22">
      <c r="A85" s="8" t="s">
        <v>204</v>
      </c>
      <c r="B85" s="338">
        <v>2027</v>
      </c>
      <c r="C85" s="60">
        <v>608.79999999999995</v>
      </c>
      <c r="D85" s="11">
        <f t="shared" si="0"/>
        <v>438.33599999999996</v>
      </c>
      <c r="F85" s="19">
        <f t="shared" si="4"/>
        <v>127.84799999999998</v>
      </c>
      <c r="G85" s="395">
        <f t="shared" si="1"/>
        <v>310.48799999999994</v>
      </c>
      <c r="I85">
        <v>30</v>
      </c>
      <c r="J85" s="63">
        <f t="shared" si="2"/>
        <v>42.073199999999993</v>
      </c>
      <c r="K85" s="63">
        <f t="shared" si="5"/>
        <v>72.073199999999986</v>
      </c>
      <c r="L85" s="63">
        <f t="shared" si="3"/>
        <v>238.41479999999996</v>
      </c>
      <c r="M85" s="63">
        <f t="shared" si="6"/>
        <v>310.48799999999994</v>
      </c>
      <c r="S85">
        <v>668</v>
      </c>
      <c r="V85">
        <v>796</v>
      </c>
    </row>
    <row r="86" spans="1:22">
      <c r="A86" s="8" t="s">
        <v>205</v>
      </c>
      <c r="B86" s="338">
        <v>2028</v>
      </c>
      <c r="C86" s="60">
        <v>616.4</v>
      </c>
      <c r="D86" s="11">
        <f t="shared" si="0"/>
        <v>443.80799999999999</v>
      </c>
      <c r="F86" s="19">
        <f t="shared" si="4"/>
        <v>129.44399999999999</v>
      </c>
      <c r="G86" s="395">
        <f t="shared" si="1"/>
        <v>314.36400000000003</v>
      </c>
      <c r="I86">
        <v>30</v>
      </c>
      <c r="J86" s="63">
        <f t="shared" si="2"/>
        <v>42.654600000000002</v>
      </c>
      <c r="K86" s="63">
        <f t="shared" si="5"/>
        <v>72.654600000000002</v>
      </c>
      <c r="L86" s="63">
        <f t="shared" si="3"/>
        <v>241.70940000000002</v>
      </c>
      <c r="M86" s="63">
        <f t="shared" si="6"/>
        <v>314.36400000000003</v>
      </c>
      <c r="S86">
        <v>677</v>
      </c>
      <c r="V86">
        <v>806</v>
      </c>
    </row>
    <row r="87" spans="1:22">
      <c r="A87" s="8" t="s">
        <v>206</v>
      </c>
      <c r="B87" s="338">
        <v>2029</v>
      </c>
      <c r="C87" s="60">
        <v>623</v>
      </c>
      <c r="D87" s="11">
        <f t="shared" si="0"/>
        <v>448.56</v>
      </c>
      <c r="F87" s="19">
        <f t="shared" si="4"/>
        <v>130.82999999999998</v>
      </c>
      <c r="G87" s="395">
        <f t="shared" si="1"/>
        <v>317.73</v>
      </c>
      <c r="I87">
        <v>30</v>
      </c>
      <c r="J87" s="63">
        <f t="shared" si="2"/>
        <v>43.159500000000001</v>
      </c>
      <c r="K87" s="63">
        <f t="shared" si="5"/>
        <v>73.159500000000008</v>
      </c>
      <c r="L87" s="63">
        <f t="shared" si="3"/>
        <v>244.57050000000001</v>
      </c>
      <c r="M87" s="63">
        <f t="shared" si="6"/>
        <v>317.73</v>
      </c>
      <c r="S87">
        <v>684</v>
      </c>
      <c r="V87">
        <v>815</v>
      </c>
    </row>
    <row r="88" spans="1:22">
      <c r="A88" s="8" t="s">
        <v>207</v>
      </c>
      <c r="B88" s="338">
        <v>2030</v>
      </c>
      <c r="C88" s="60">
        <v>628.1</v>
      </c>
      <c r="D88" s="11">
        <f t="shared" si="0"/>
        <v>452.23200000000003</v>
      </c>
      <c r="F88" s="19">
        <f t="shared" si="4"/>
        <v>131.90100000000001</v>
      </c>
      <c r="G88" s="395">
        <f t="shared" si="1"/>
        <v>320.33100000000002</v>
      </c>
      <c r="I88">
        <v>30</v>
      </c>
      <c r="J88" s="63">
        <f t="shared" si="2"/>
        <v>43.54965</v>
      </c>
      <c r="K88" s="63">
        <f t="shared" si="5"/>
        <v>73.54965</v>
      </c>
      <c r="L88" s="63">
        <f t="shared" si="3"/>
        <v>246.78135</v>
      </c>
      <c r="M88" s="63">
        <f t="shared" si="6"/>
        <v>320.33100000000002</v>
      </c>
      <c r="S88">
        <v>690</v>
      </c>
      <c r="V88">
        <v>822</v>
      </c>
    </row>
    <row r="89" spans="1:22">
      <c r="A89" s="408" t="s">
        <v>208</v>
      </c>
      <c r="B89" s="516">
        <v>2031</v>
      </c>
      <c r="C89" s="6">
        <v>632.6</v>
      </c>
      <c r="D89" s="12">
        <f t="shared" si="0"/>
        <v>455.47199999999998</v>
      </c>
      <c r="F89" s="19">
        <f t="shared" si="4"/>
        <v>132.846</v>
      </c>
      <c r="G89" s="395">
        <f t="shared" si="1"/>
        <v>322.62599999999998</v>
      </c>
      <c r="I89">
        <v>30</v>
      </c>
      <c r="J89" s="63">
        <f t="shared" si="2"/>
        <v>43.893899999999995</v>
      </c>
      <c r="K89" s="63">
        <f t="shared" si="5"/>
        <v>73.893900000000002</v>
      </c>
      <c r="L89" s="63">
        <f t="shared" si="3"/>
        <v>248.73209999999997</v>
      </c>
      <c r="M89" s="63">
        <f t="shared" si="6"/>
        <v>322.62599999999998</v>
      </c>
      <c r="S89">
        <v>695</v>
      </c>
      <c r="V89">
        <v>827</v>
      </c>
    </row>
    <row r="90" spans="1:22">
      <c r="A90" s="8" t="s">
        <v>209</v>
      </c>
      <c r="B90" s="338">
        <v>2032</v>
      </c>
      <c r="C90" s="3">
        <v>636</v>
      </c>
      <c r="D90" s="11">
        <f t="shared" si="0"/>
        <v>457.91999999999996</v>
      </c>
      <c r="F90" s="19">
        <f t="shared" si="4"/>
        <v>133.56</v>
      </c>
      <c r="G90" s="395">
        <f t="shared" si="1"/>
        <v>324.35999999999996</v>
      </c>
      <c r="I90">
        <v>30</v>
      </c>
      <c r="J90" s="63">
        <f t="shared" si="2"/>
        <v>44.153999999999989</v>
      </c>
      <c r="K90" s="63">
        <f t="shared" si="5"/>
        <v>74.153999999999996</v>
      </c>
      <c r="L90" s="63">
        <f t="shared" si="3"/>
        <v>250.20599999999996</v>
      </c>
      <c r="M90" s="63">
        <f t="shared" si="6"/>
        <v>324.35999999999996</v>
      </c>
      <c r="N90" s="71" t="s">
        <v>93</v>
      </c>
      <c r="S90">
        <v>698</v>
      </c>
      <c r="V90">
        <v>832</v>
      </c>
    </row>
    <row r="91" spans="1:22">
      <c r="A91" s="8" t="s">
        <v>210</v>
      </c>
      <c r="B91" s="338">
        <v>2033</v>
      </c>
      <c r="C91" s="3">
        <v>639.5</v>
      </c>
      <c r="D91" s="11">
        <f t="shared" si="0"/>
        <v>460.44</v>
      </c>
      <c r="F91" s="19">
        <f t="shared" si="4"/>
        <v>134.29499999999999</v>
      </c>
      <c r="G91" s="395">
        <f t="shared" si="1"/>
        <v>326.14499999999998</v>
      </c>
      <c r="I91">
        <v>30</v>
      </c>
      <c r="J91" s="63">
        <f t="shared" si="2"/>
        <v>44.421749999999996</v>
      </c>
      <c r="K91" s="63">
        <f t="shared" si="5"/>
        <v>74.421750000000003</v>
      </c>
      <c r="L91" s="63">
        <f t="shared" si="3"/>
        <v>251.72324999999998</v>
      </c>
      <c r="M91" s="63">
        <f t="shared" si="6"/>
        <v>326.14499999999998</v>
      </c>
      <c r="N91" s="72" t="s">
        <v>80</v>
      </c>
      <c r="S91">
        <v>702</v>
      </c>
      <c r="V91">
        <v>836</v>
      </c>
    </row>
    <row r="92" spans="1:22">
      <c r="A92" s="8" t="s">
        <v>211</v>
      </c>
      <c r="B92" s="338">
        <v>2034</v>
      </c>
      <c r="C92" s="3">
        <v>642.9</v>
      </c>
      <c r="D92" s="11">
        <f t="shared" si="0"/>
        <v>462.88799999999998</v>
      </c>
      <c r="F92" s="19">
        <f t="shared" si="4"/>
        <v>135.00899999999999</v>
      </c>
      <c r="G92" s="395">
        <f t="shared" si="1"/>
        <v>327.87900000000002</v>
      </c>
      <c r="I92">
        <v>30</v>
      </c>
      <c r="J92" s="63">
        <f t="shared" si="2"/>
        <v>44.681850000000004</v>
      </c>
      <c r="K92" s="63">
        <f t="shared" si="5"/>
        <v>74.681849999999997</v>
      </c>
      <c r="L92" s="63">
        <f t="shared" si="3"/>
        <v>253.19715000000002</v>
      </c>
      <c r="M92" s="63">
        <f t="shared" si="6"/>
        <v>327.87900000000002</v>
      </c>
      <c r="N92" s="72" t="s">
        <v>94</v>
      </c>
      <c r="S92">
        <v>706</v>
      </c>
      <c r="V92">
        <v>841</v>
      </c>
    </row>
    <row r="93" spans="1:22" ht="16" thickBot="1">
      <c r="A93" s="8" t="s">
        <v>212</v>
      </c>
      <c r="B93" s="517">
        <v>2035</v>
      </c>
      <c r="C93" s="93">
        <v>646.4</v>
      </c>
      <c r="D93" s="514">
        <f t="shared" si="0"/>
        <v>465.40799999999996</v>
      </c>
      <c r="F93" s="249">
        <f t="shared" si="4"/>
        <v>135.744</v>
      </c>
      <c r="G93" s="396">
        <f t="shared" si="1"/>
        <v>329.66399999999999</v>
      </c>
      <c r="I93" s="59">
        <v>30</v>
      </c>
      <c r="J93" s="94">
        <f t="shared" si="2"/>
        <v>44.949599999999997</v>
      </c>
      <c r="K93" s="63">
        <f t="shared" si="5"/>
        <v>74.949600000000004</v>
      </c>
      <c r="L93" s="94">
        <f t="shared" si="3"/>
        <v>254.71439999999998</v>
      </c>
      <c r="M93" s="94">
        <f t="shared" si="6"/>
        <v>329.66399999999999</v>
      </c>
      <c r="N93" s="73" t="s">
        <v>74</v>
      </c>
      <c r="S93">
        <v>710</v>
      </c>
      <c r="V93">
        <v>845</v>
      </c>
    </row>
    <row r="94" spans="1:22" ht="16" thickTop="1">
      <c r="A94" s="410" t="s">
        <v>197</v>
      </c>
      <c r="B94" s="338">
        <v>2036</v>
      </c>
      <c r="C94" s="60">
        <v>649.9</v>
      </c>
      <c r="D94" s="515">
        <f t="shared" si="0"/>
        <v>467.92799999999994</v>
      </c>
      <c r="F94" s="17">
        <f t="shared" si="4"/>
        <v>136.47899999999998</v>
      </c>
      <c r="G94" s="395">
        <f t="shared" si="1"/>
        <v>331.44899999999996</v>
      </c>
      <c r="I94">
        <v>30</v>
      </c>
      <c r="J94" s="63">
        <f t="shared" si="2"/>
        <v>45.217349999999989</v>
      </c>
      <c r="K94" s="63">
        <f t="shared" si="5"/>
        <v>75.217349999999982</v>
      </c>
      <c r="L94" s="63">
        <f t="shared" si="3"/>
        <v>256.23164999999995</v>
      </c>
      <c r="M94" s="78">
        <f t="shared" ref="M94:M157" si="7">I94+J94+L94</f>
        <v>331.44899999999996</v>
      </c>
      <c r="N94" s="66">
        <f>SUM(L79:L93)/1000</f>
        <v>3.01444935</v>
      </c>
      <c r="S94">
        <v>714</v>
      </c>
      <c r="V94">
        <v>850</v>
      </c>
    </row>
    <row r="95" spans="1:22">
      <c r="A95" s="81" t="s">
        <v>316</v>
      </c>
      <c r="B95" s="338">
        <v>2037</v>
      </c>
      <c r="C95" s="3">
        <v>653.5</v>
      </c>
      <c r="D95" s="11">
        <f t="shared" si="0"/>
        <v>470.52</v>
      </c>
      <c r="F95" s="19">
        <f t="shared" si="4"/>
        <v>137.23499999999999</v>
      </c>
      <c r="G95" s="395">
        <f t="shared" si="1"/>
        <v>333.28499999999997</v>
      </c>
      <c r="I95">
        <v>30</v>
      </c>
      <c r="J95" s="63">
        <f t="shared" si="2"/>
        <v>45.492749999999994</v>
      </c>
      <c r="K95" s="63">
        <f t="shared" si="5"/>
        <v>75.492750000000001</v>
      </c>
      <c r="L95" s="63">
        <f t="shared" si="3"/>
        <v>257.79224999999997</v>
      </c>
      <c r="M95" s="63">
        <f t="shared" si="7"/>
        <v>333.28499999999997</v>
      </c>
      <c r="S95">
        <v>718</v>
      </c>
      <c r="V95">
        <v>855</v>
      </c>
    </row>
    <row r="96" spans="1:22">
      <c r="A96" s="81" t="s">
        <v>317</v>
      </c>
      <c r="B96" s="338">
        <v>2038</v>
      </c>
      <c r="C96" s="3">
        <v>655.8</v>
      </c>
      <c r="D96" s="11">
        <f t="shared" si="0"/>
        <v>472.17599999999993</v>
      </c>
      <c r="F96" s="19">
        <f t="shared" si="4"/>
        <v>137.71799999999999</v>
      </c>
      <c r="G96" s="395">
        <f t="shared" si="1"/>
        <v>334.45799999999997</v>
      </c>
      <c r="I96">
        <v>30</v>
      </c>
      <c r="J96" s="63">
        <f t="shared" si="2"/>
        <v>45.668699999999994</v>
      </c>
      <c r="K96" s="63">
        <f t="shared" si="5"/>
        <v>75.668700000000001</v>
      </c>
      <c r="L96" s="63">
        <f t="shared" si="3"/>
        <v>258.78929999999997</v>
      </c>
      <c r="M96" s="63">
        <f t="shared" si="7"/>
        <v>334.45799999999997</v>
      </c>
      <c r="S96">
        <v>720</v>
      </c>
      <c r="V96">
        <v>858</v>
      </c>
    </row>
    <row r="97" spans="1:22">
      <c r="A97" s="81" t="s">
        <v>318</v>
      </c>
      <c r="B97" s="338">
        <v>2039</v>
      </c>
      <c r="C97" s="3">
        <v>658.2</v>
      </c>
      <c r="D97" s="11">
        <f t="shared" si="0"/>
        <v>473.904</v>
      </c>
      <c r="F97" s="19">
        <f t="shared" si="4"/>
        <v>138.22200000000001</v>
      </c>
      <c r="G97" s="395">
        <f t="shared" si="1"/>
        <v>335.68200000000002</v>
      </c>
      <c r="I97">
        <v>30</v>
      </c>
      <c r="J97" s="63">
        <f t="shared" si="2"/>
        <v>45.8523</v>
      </c>
      <c r="K97" s="63">
        <f t="shared" si="5"/>
        <v>75.8523</v>
      </c>
      <c r="L97" s="63">
        <f t="shared" si="3"/>
        <v>259.8297</v>
      </c>
      <c r="M97" s="63">
        <f t="shared" si="7"/>
        <v>335.68200000000002</v>
      </c>
      <c r="S97">
        <v>723</v>
      </c>
      <c r="V97">
        <v>861</v>
      </c>
    </row>
    <row r="98" spans="1:22">
      <c r="A98" s="81" t="s">
        <v>381</v>
      </c>
      <c r="B98" s="338">
        <v>2040</v>
      </c>
      <c r="C98" s="3">
        <v>660.6</v>
      </c>
      <c r="D98" s="11">
        <f t="shared" si="0"/>
        <v>475.63200000000001</v>
      </c>
      <c r="F98" s="19">
        <f t="shared" si="4"/>
        <v>138.726</v>
      </c>
      <c r="G98" s="395">
        <f t="shared" si="1"/>
        <v>336.90600000000001</v>
      </c>
      <c r="I98">
        <v>30</v>
      </c>
      <c r="J98" s="63">
        <f t="shared" si="2"/>
        <v>46.035899999999998</v>
      </c>
      <c r="K98" s="63">
        <f t="shared" si="5"/>
        <v>76.035899999999998</v>
      </c>
      <c r="L98" s="63">
        <f t="shared" si="3"/>
        <v>260.87009999999998</v>
      </c>
      <c r="M98" s="63">
        <f t="shared" si="7"/>
        <v>336.90599999999995</v>
      </c>
      <c r="S98">
        <v>725</v>
      </c>
      <c r="V98">
        <v>864</v>
      </c>
    </row>
    <row r="99" spans="1:22">
      <c r="A99" s="81" t="s">
        <v>383</v>
      </c>
      <c r="B99" s="338">
        <v>2041</v>
      </c>
      <c r="C99" s="3">
        <v>663</v>
      </c>
      <c r="D99" s="11">
        <f t="shared" si="0"/>
        <v>477.35999999999996</v>
      </c>
      <c r="F99" s="19">
        <f t="shared" si="4"/>
        <v>139.22999999999999</v>
      </c>
      <c r="G99" s="395">
        <f t="shared" si="1"/>
        <v>338.13</v>
      </c>
      <c r="I99">
        <v>30</v>
      </c>
      <c r="J99" s="63">
        <f t="shared" si="2"/>
        <v>46.219499999999996</v>
      </c>
      <c r="K99" s="63">
        <f t="shared" si="5"/>
        <v>76.219499999999996</v>
      </c>
      <c r="L99" s="63">
        <f t="shared" si="3"/>
        <v>261.91050000000001</v>
      </c>
      <c r="M99" s="63">
        <f t="shared" si="7"/>
        <v>338.13</v>
      </c>
      <c r="S99">
        <v>728</v>
      </c>
      <c r="V99">
        <v>867</v>
      </c>
    </row>
    <row r="100" spans="1:22">
      <c r="A100" s="466" t="s">
        <v>319</v>
      </c>
      <c r="B100" s="517">
        <v>2042</v>
      </c>
      <c r="C100" s="93">
        <v>665.7</v>
      </c>
      <c r="D100" s="11">
        <f t="shared" si="0"/>
        <v>479.30400000000003</v>
      </c>
      <c r="F100" s="19">
        <f t="shared" si="4"/>
        <v>139.797</v>
      </c>
      <c r="G100" s="395">
        <f t="shared" si="1"/>
        <v>339.50700000000006</v>
      </c>
      <c r="I100">
        <v>30</v>
      </c>
      <c r="J100" s="63">
        <f t="shared" si="2"/>
        <v>46.426050000000011</v>
      </c>
      <c r="K100" s="63">
        <f t="shared" si="5"/>
        <v>76.426050000000004</v>
      </c>
      <c r="L100" s="63">
        <f t="shared" si="3"/>
        <v>263.08095000000003</v>
      </c>
      <c r="M100" s="63">
        <f t="shared" si="7"/>
        <v>339.50700000000006</v>
      </c>
      <c r="S100">
        <v>731</v>
      </c>
      <c r="V100">
        <v>871</v>
      </c>
    </row>
    <row r="101" spans="1:22">
      <c r="A101" s="81" t="s">
        <v>320</v>
      </c>
      <c r="B101" s="518">
        <v>2043</v>
      </c>
      <c r="C101" s="77">
        <f>C100*1.004</f>
        <v>668.36279999999999</v>
      </c>
      <c r="D101" s="11">
        <f t="shared" si="0"/>
        <v>481.22121599999997</v>
      </c>
      <c r="F101" s="19">
        <f t="shared" ref="F101:F164" si="8">C101*0.21</f>
        <v>140.356188</v>
      </c>
      <c r="G101" s="395">
        <f t="shared" si="1"/>
        <v>340.86502799999994</v>
      </c>
      <c r="I101">
        <v>30</v>
      </c>
      <c r="J101" s="63">
        <f t="shared" si="2"/>
        <v>46.629754199999986</v>
      </c>
      <c r="K101" s="63">
        <f t="shared" si="5"/>
        <v>76.629754199999979</v>
      </c>
      <c r="L101" s="63">
        <f t="shared" si="3"/>
        <v>264.23527379999996</v>
      </c>
      <c r="M101" s="63">
        <f t="shared" si="7"/>
        <v>340.86502799999994</v>
      </c>
      <c r="S101">
        <v>734</v>
      </c>
      <c r="V101">
        <v>874</v>
      </c>
    </row>
    <row r="102" spans="1:22">
      <c r="A102" s="81" t="s">
        <v>321</v>
      </c>
      <c r="B102" s="518">
        <v>2044</v>
      </c>
      <c r="C102" s="77">
        <f t="shared" ref="C102:C165" si="9">C101*1.004</f>
        <v>671.03625120000004</v>
      </c>
      <c r="D102" s="11">
        <f t="shared" si="0"/>
        <v>483.146100864</v>
      </c>
      <c r="F102" s="19">
        <f t="shared" si="8"/>
        <v>140.917612752</v>
      </c>
      <c r="G102" s="395">
        <f t="shared" si="1"/>
        <v>342.22848811200004</v>
      </c>
      <c r="I102">
        <v>30</v>
      </c>
      <c r="J102" s="63">
        <f t="shared" si="2"/>
        <v>46.834273216800007</v>
      </c>
      <c r="K102" s="63">
        <f t="shared" si="5"/>
        <v>76.8342732168</v>
      </c>
      <c r="L102" s="63">
        <f t="shared" si="3"/>
        <v>265.39421489520004</v>
      </c>
      <c r="M102" s="63">
        <f t="shared" si="7"/>
        <v>342.22848811200004</v>
      </c>
      <c r="S102">
        <v>737</v>
      </c>
      <c r="V102">
        <v>878</v>
      </c>
    </row>
    <row r="103" spans="1:22">
      <c r="A103" s="81" t="s">
        <v>322</v>
      </c>
      <c r="B103" s="518">
        <v>2045</v>
      </c>
      <c r="C103" s="77">
        <f t="shared" si="9"/>
        <v>673.72039620480007</v>
      </c>
      <c r="D103" s="11">
        <f t="shared" si="0"/>
        <v>485.07868526745602</v>
      </c>
      <c r="F103" s="19">
        <f t="shared" si="8"/>
        <v>141.48128320300802</v>
      </c>
      <c r="G103" s="395">
        <f t="shared" si="1"/>
        <v>343.59740206444803</v>
      </c>
      <c r="I103">
        <v>30</v>
      </c>
      <c r="J103" s="63">
        <f t="shared" si="2"/>
        <v>47.039610309667204</v>
      </c>
      <c r="K103" s="63">
        <f t="shared" si="5"/>
        <v>77.039610309667211</v>
      </c>
      <c r="L103" s="63">
        <f t="shared" si="3"/>
        <v>266.55779175478079</v>
      </c>
      <c r="M103" s="63">
        <f t="shared" si="7"/>
        <v>343.59740206444803</v>
      </c>
      <c r="S103">
        <v>740</v>
      </c>
      <c r="V103">
        <v>881</v>
      </c>
    </row>
    <row r="104" spans="1:22">
      <c r="A104" s="81" t="s">
        <v>323</v>
      </c>
      <c r="B104" s="518">
        <v>2046</v>
      </c>
      <c r="C104" s="77">
        <f t="shared" si="9"/>
        <v>676.41527778961927</v>
      </c>
      <c r="D104" s="11">
        <f t="shared" si="0"/>
        <v>487.01900000852584</v>
      </c>
      <c r="F104" s="19">
        <f t="shared" si="8"/>
        <v>142.04720833582005</v>
      </c>
      <c r="G104" s="395">
        <f t="shared" si="1"/>
        <v>344.97179167270576</v>
      </c>
      <c r="I104">
        <v>30</v>
      </c>
      <c r="J104" s="63">
        <f t="shared" si="2"/>
        <v>47.24576875090586</v>
      </c>
      <c r="K104" s="63">
        <f t="shared" si="5"/>
        <v>77.245768750905853</v>
      </c>
      <c r="L104" s="63">
        <f t="shared" si="3"/>
        <v>267.72602292179988</v>
      </c>
      <c r="M104" s="63">
        <f t="shared" si="7"/>
        <v>344.97179167270576</v>
      </c>
      <c r="S104">
        <v>743</v>
      </c>
      <c r="V104">
        <v>885</v>
      </c>
    </row>
    <row r="105" spans="1:22">
      <c r="A105" s="81" t="s">
        <v>324</v>
      </c>
      <c r="B105" s="518">
        <v>2047</v>
      </c>
      <c r="C105" s="77">
        <f t="shared" si="9"/>
        <v>679.12093890077779</v>
      </c>
      <c r="D105" s="11">
        <f t="shared" si="0"/>
        <v>488.96707600856001</v>
      </c>
      <c r="F105" s="19">
        <f t="shared" si="8"/>
        <v>142.61539716916332</v>
      </c>
      <c r="G105" s="395">
        <f t="shared" si="1"/>
        <v>346.3516788393967</v>
      </c>
      <c r="I105">
        <v>30</v>
      </c>
      <c r="J105" s="63">
        <f t="shared" si="2"/>
        <v>47.452751825909502</v>
      </c>
      <c r="K105" s="63">
        <f t="shared" si="5"/>
        <v>77.452751825909502</v>
      </c>
      <c r="L105" s="63">
        <f t="shared" si="3"/>
        <v>268.8989270134872</v>
      </c>
      <c r="M105" s="63">
        <f t="shared" si="7"/>
        <v>346.3516788393967</v>
      </c>
      <c r="N105" s="71" t="s">
        <v>93</v>
      </c>
      <c r="S105">
        <v>746</v>
      </c>
      <c r="V105">
        <v>888</v>
      </c>
    </row>
    <row r="106" spans="1:22">
      <c r="A106" s="81" t="s">
        <v>325</v>
      </c>
      <c r="B106" s="518">
        <v>2048</v>
      </c>
      <c r="C106" s="77">
        <f t="shared" si="9"/>
        <v>681.83742265638091</v>
      </c>
      <c r="D106" s="11">
        <f t="shared" si="0"/>
        <v>490.92294431259421</v>
      </c>
      <c r="F106" s="19">
        <f t="shared" si="8"/>
        <v>143.18585875783998</v>
      </c>
      <c r="G106" s="395">
        <f t="shared" si="1"/>
        <v>347.73708555475423</v>
      </c>
      <c r="I106">
        <v>30</v>
      </c>
      <c r="J106" s="63">
        <f t="shared" si="2"/>
        <v>47.660562833213135</v>
      </c>
      <c r="K106" s="63">
        <f t="shared" si="5"/>
        <v>77.660562833213135</v>
      </c>
      <c r="L106" s="63">
        <f t="shared" si="3"/>
        <v>270.0765227215411</v>
      </c>
      <c r="M106" s="63">
        <f t="shared" si="7"/>
        <v>347.73708555475423</v>
      </c>
      <c r="N106" s="72" t="s">
        <v>80</v>
      </c>
      <c r="S106">
        <v>749</v>
      </c>
      <c r="V106">
        <v>892</v>
      </c>
    </row>
    <row r="107" spans="1:22">
      <c r="A107" s="81" t="s">
        <v>326</v>
      </c>
      <c r="B107" s="518">
        <v>2049</v>
      </c>
      <c r="C107" s="77">
        <f t="shared" si="9"/>
        <v>684.5647723470064</v>
      </c>
      <c r="D107" s="11">
        <f t="shared" si="0"/>
        <v>492.88663608984461</v>
      </c>
      <c r="F107" s="19">
        <f t="shared" si="8"/>
        <v>143.75860219287134</v>
      </c>
      <c r="G107" s="395">
        <f t="shared" si="1"/>
        <v>349.12803389697331</v>
      </c>
      <c r="I107">
        <v>30</v>
      </c>
      <c r="J107" s="63">
        <f t="shared" si="2"/>
        <v>47.869205084545996</v>
      </c>
      <c r="K107" s="63">
        <f t="shared" si="5"/>
        <v>77.869205084545996</v>
      </c>
      <c r="L107" s="63">
        <f t="shared" si="3"/>
        <v>271.25882881242728</v>
      </c>
      <c r="M107" s="63">
        <f t="shared" si="7"/>
        <v>349.12803389697331</v>
      </c>
      <c r="N107" s="72" t="s">
        <v>122</v>
      </c>
      <c r="S107">
        <v>752</v>
      </c>
      <c r="V107">
        <v>895</v>
      </c>
    </row>
    <row r="108" spans="1:22" ht="16" thickBot="1">
      <c r="A108" s="81" t="s">
        <v>382</v>
      </c>
      <c r="B108" s="519">
        <v>2050</v>
      </c>
      <c r="C108" s="97">
        <f t="shared" si="9"/>
        <v>687.30303143639446</v>
      </c>
      <c r="D108" s="514">
        <f t="shared" si="0"/>
        <v>494.85818263420401</v>
      </c>
      <c r="F108" s="249">
        <f t="shared" si="8"/>
        <v>144.33363660164284</v>
      </c>
      <c r="G108" s="396">
        <f t="shared" si="1"/>
        <v>350.52454603256115</v>
      </c>
      <c r="I108" s="59">
        <v>30</v>
      </c>
      <c r="J108" s="94">
        <f t="shared" si="2"/>
        <v>48.078681904884171</v>
      </c>
      <c r="K108" s="63">
        <f t="shared" si="5"/>
        <v>78.078681904884178</v>
      </c>
      <c r="L108" s="94">
        <f t="shared" si="3"/>
        <v>272.44586412767694</v>
      </c>
      <c r="M108" s="94">
        <f t="shared" si="7"/>
        <v>350.52454603256115</v>
      </c>
      <c r="N108" s="73" t="s">
        <v>74</v>
      </c>
      <c r="S108">
        <v>755</v>
      </c>
      <c r="V108">
        <v>899</v>
      </c>
    </row>
    <row r="109" spans="1:22" ht="16" thickTop="1">
      <c r="A109" s="81" t="s">
        <v>384</v>
      </c>
      <c r="B109" s="518">
        <v>2051</v>
      </c>
      <c r="C109" s="77">
        <f t="shared" si="9"/>
        <v>690.05224356214001</v>
      </c>
      <c r="D109" s="11">
        <f t="shared" si="0"/>
        <v>496.83761536474077</v>
      </c>
      <c r="F109" s="19">
        <f t="shared" si="8"/>
        <v>144.91097114804938</v>
      </c>
      <c r="G109" s="395">
        <f t="shared" si="1"/>
        <v>351.92664421669139</v>
      </c>
      <c r="I109">
        <v>30</v>
      </c>
      <c r="J109" s="63">
        <f t="shared" si="2"/>
        <v>48.288996632503704</v>
      </c>
      <c r="K109" s="63">
        <f t="shared" si="5"/>
        <v>78.288996632503711</v>
      </c>
      <c r="L109" s="63">
        <f t="shared" si="3"/>
        <v>273.63764758418768</v>
      </c>
      <c r="M109" s="63">
        <f t="shared" si="7"/>
        <v>351.92664421669139</v>
      </c>
      <c r="N109" s="66">
        <f>SUM(L79:L108)/1000</f>
        <v>6.9795472460469119</v>
      </c>
      <c r="S109">
        <v>758</v>
      </c>
      <c r="V109">
        <v>903</v>
      </c>
    </row>
    <row r="110" spans="1:22">
      <c r="A110" s="81" t="s">
        <v>327</v>
      </c>
      <c r="B110" s="518">
        <v>2052</v>
      </c>
      <c r="C110" s="77">
        <f t="shared" si="9"/>
        <v>692.81245253638861</v>
      </c>
      <c r="D110" s="11">
        <f t="shared" si="0"/>
        <v>498.82496582619979</v>
      </c>
      <c r="F110" s="19">
        <f t="shared" si="8"/>
        <v>145.49061503264161</v>
      </c>
      <c r="G110" s="395">
        <f t="shared" si="1"/>
        <v>353.3343507935582</v>
      </c>
      <c r="I110">
        <v>30</v>
      </c>
      <c r="J110" s="63">
        <f t="shared" si="2"/>
        <v>48.500152619033727</v>
      </c>
      <c r="K110" s="63">
        <f t="shared" si="5"/>
        <v>78.500152619033727</v>
      </c>
      <c r="L110" s="63">
        <f t="shared" si="3"/>
        <v>274.83419817452449</v>
      </c>
      <c r="M110" s="63">
        <f t="shared" si="7"/>
        <v>353.3343507935582</v>
      </c>
      <c r="S110">
        <v>761</v>
      </c>
      <c r="V110">
        <v>906</v>
      </c>
    </row>
    <row r="111" spans="1:22">
      <c r="A111" s="81" t="s">
        <v>328</v>
      </c>
      <c r="B111" s="518">
        <v>2053</v>
      </c>
      <c r="C111" s="77">
        <f t="shared" si="9"/>
        <v>695.58370234653421</v>
      </c>
      <c r="D111" s="11">
        <f t="shared" ref="D111:D142" si="10">C111*0.72</f>
        <v>500.82026568950459</v>
      </c>
      <c r="F111" s="19">
        <f t="shared" si="8"/>
        <v>146.07257749277218</v>
      </c>
      <c r="G111" s="395">
        <f t="shared" ref="G111:G142" si="11">D111-F111</f>
        <v>354.74768819673238</v>
      </c>
      <c r="I111">
        <v>30</v>
      </c>
      <c r="J111" s="63">
        <f t="shared" ref="J111:J142" si="12">(G111-I111)*0.15</f>
        <v>48.712153229509859</v>
      </c>
      <c r="K111" s="63">
        <f t="shared" si="5"/>
        <v>78.712153229509852</v>
      </c>
      <c r="L111" s="63">
        <f t="shared" ref="L111:L142" si="13">(G111-I111)*0.85</f>
        <v>276.03553496722253</v>
      </c>
      <c r="M111" s="63">
        <f t="shared" si="7"/>
        <v>354.74768819673238</v>
      </c>
      <c r="S111">
        <v>764</v>
      </c>
      <c r="V111">
        <v>910</v>
      </c>
    </row>
    <row r="112" spans="1:22">
      <c r="A112" s="81" t="s">
        <v>329</v>
      </c>
      <c r="B112" s="518">
        <v>2054</v>
      </c>
      <c r="C112" s="77">
        <f t="shared" si="9"/>
        <v>698.36603715592037</v>
      </c>
      <c r="D112" s="11">
        <f t="shared" si="10"/>
        <v>502.82354675226264</v>
      </c>
      <c r="F112" s="19">
        <f t="shared" si="8"/>
        <v>146.65686780274328</v>
      </c>
      <c r="G112" s="395">
        <f t="shared" si="11"/>
        <v>356.16667894951934</v>
      </c>
      <c r="I112">
        <v>30</v>
      </c>
      <c r="J112" s="63">
        <f t="shared" si="12"/>
        <v>48.925001842427896</v>
      </c>
      <c r="K112" s="63">
        <f t="shared" si="5"/>
        <v>78.925001842427889</v>
      </c>
      <c r="L112" s="63">
        <f t="shared" si="13"/>
        <v>277.24167710709145</v>
      </c>
      <c r="M112" s="63">
        <f t="shared" si="7"/>
        <v>356.16667894951934</v>
      </c>
      <c r="S112">
        <v>767</v>
      </c>
      <c r="V112">
        <v>914</v>
      </c>
    </row>
    <row r="113" spans="1:22">
      <c r="A113" s="81" t="s">
        <v>330</v>
      </c>
      <c r="B113" s="518">
        <v>2055</v>
      </c>
      <c r="C113" s="77">
        <f t="shared" si="9"/>
        <v>701.15950130454405</v>
      </c>
      <c r="D113" s="11">
        <f t="shared" si="10"/>
        <v>504.83484093927171</v>
      </c>
      <c r="F113" s="19">
        <f t="shared" si="8"/>
        <v>147.24349527395424</v>
      </c>
      <c r="G113" s="395">
        <f t="shared" si="11"/>
        <v>357.59134566531748</v>
      </c>
      <c r="I113">
        <v>30</v>
      </c>
      <c r="J113" s="63">
        <f t="shared" si="12"/>
        <v>49.13870184979762</v>
      </c>
      <c r="K113" s="63">
        <f t="shared" si="5"/>
        <v>79.138701849797627</v>
      </c>
      <c r="L113" s="63">
        <f t="shared" si="13"/>
        <v>278.45264381551982</v>
      </c>
      <c r="M113" s="63">
        <f t="shared" si="7"/>
        <v>357.59134566531748</v>
      </c>
      <c r="S113">
        <v>770</v>
      </c>
      <c r="V113">
        <v>917</v>
      </c>
    </row>
    <row r="114" spans="1:22">
      <c r="A114" s="81" t="s">
        <v>331</v>
      </c>
      <c r="B114" s="518">
        <v>2056</v>
      </c>
      <c r="C114" s="77">
        <f t="shared" si="9"/>
        <v>703.96413930976223</v>
      </c>
      <c r="D114" s="11">
        <f t="shared" si="10"/>
        <v>506.85418030302878</v>
      </c>
      <c r="F114" s="19">
        <f t="shared" si="8"/>
        <v>147.83246925505006</v>
      </c>
      <c r="G114" s="395">
        <f t="shared" si="11"/>
        <v>359.02171104797873</v>
      </c>
      <c r="I114">
        <v>30</v>
      </c>
      <c r="J114" s="63">
        <f t="shared" si="12"/>
        <v>49.353256657196809</v>
      </c>
      <c r="K114" s="63">
        <f t="shared" si="5"/>
        <v>79.353256657196809</v>
      </c>
      <c r="L114" s="63">
        <f t="shared" si="13"/>
        <v>279.6684543907819</v>
      </c>
      <c r="M114" s="63">
        <f t="shared" si="7"/>
        <v>359.02171104797873</v>
      </c>
      <c r="S114">
        <v>773</v>
      </c>
      <c r="V114">
        <v>921</v>
      </c>
    </row>
    <row r="115" spans="1:22">
      <c r="A115" s="81" t="s">
        <v>332</v>
      </c>
      <c r="B115" s="518">
        <v>2057</v>
      </c>
      <c r="C115" s="77">
        <f t="shared" si="9"/>
        <v>706.77999586700128</v>
      </c>
      <c r="D115" s="11">
        <f t="shared" si="10"/>
        <v>508.88159702424088</v>
      </c>
      <c r="F115" s="19">
        <f t="shared" si="8"/>
        <v>148.42379913207026</v>
      </c>
      <c r="G115" s="395">
        <f t="shared" si="11"/>
        <v>360.45779789217062</v>
      </c>
      <c r="I115">
        <v>30</v>
      </c>
      <c r="J115" s="63">
        <f t="shared" si="12"/>
        <v>49.56866968382559</v>
      </c>
      <c r="K115" s="63">
        <f t="shared" si="5"/>
        <v>79.56866968382559</v>
      </c>
      <c r="L115" s="63">
        <f t="shared" si="13"/>
        <v>280.88912820834503</v>
      </c>
      <c r="M115" s="63">
        <f t="shared" si="7"/>
        <v>360.45779789217062</v>
      </c>
      <c r="S115">
        <v>776</v>
      </c>
      <c r="V115">
        <v>924</v>
      </c>
    </row>
    <row r="116" spans="1:22">
      <c r="A116" s="81" t="s">
        <v>333</v>
      </c>
      <c r="B116" s="518">
        <v>2058</v>
      </c>
      <c r="C116" s="77">
        <f t="shared" si="9"/>
        <v>709.60711585046931</v>
      </c>
      <c r="D116" s="11">
        <f t="shared" si="10"/>
        <v>510.9171234123379</v>
      </c>
      <c r="F116" s="19">
        <f t="shared" si="8"/>
        <v>149.01749432859856</v>
      </c>
      <c r="G116" s="395">
        <f t="shared" si="11"/>
        <v>361.89962908373934</v>
      </c>
      <c r="I116">
        <v>30</v>
      </c>
      <c r="J116" s="63">
        <f t="shared" si="12"/>
        <v>49.7849443625609</v>
      </c>
      <c r="K116" s="63">
        <f t="shared" si="5"/>
        <v>79.784944362560907</v>
      </c>
      <c r="L116" s="63">
        <f t="shared" si="13"/>
        <v>282.11468472117843</v>
      </c>
      <c r="M116" s="63">
        <f t="shared" si="7"/>
        <v>361.89962908373934</v>
      </c>
      <c r="S116">
        <v>779</v>
      </c>
      <c r="V116">
        <v>928</v>
      </c>
    </row>
    <row r="117" spans="1:22">
      <c r="A117" s="81" t="s">
        <v>334</v>
      </c>
      <c r="B117" s="518">
        <v>2059</v>
      </c>
      <c r="C117" s="77">
        <f t="shared" si="9"/>
        <v>712.44554431387121</v>
      </c>
      <c r="D117" s="11">
        <f t="shared" si="10"/>
        <v>512.96079190598721</v>
      </c>
      <c r="F117" s="19">
        <f t="shared" si="8"/>
        <v>149.61356430591294</v>
      </c>
      <c r="G117" s="395">
        <f t="shared" si="11"/>
        <v>363.34722760007423</v>
      </c>
      <c r="I117">
        <v>30</v>
      </c>
      <c r="J117" s="63">
        <f t="shared" si="12"/>
        <v>50.002084140011135</v>
      </c>
      <c r="K117" s="63">
        <f t="shared" si="5"/>
        <v>80.002084140011135</v>
      </c>
      <c r="L117" s="63">
        <f t="shared" si="13"/>
        <v>283.34514346006307</v>
      </c>
      <c r="M117" s="63">
        <f t="shared" si="7"/>
        <v>363.34722760007423</v>
      </c>
      <c r="S117">
        <v>782</v>
      </c>
      <c r="V117">
        <v>932</v>
      </c>
    </row>
    <row r="118" spans="1:22">
      <c r="A118" s="81" t="s">
        <v>385</v>
      </c>
      <c r="B118" s="518">
        <v>2060</v>
      </c>
      <c r="C118" s="77">
        <f t="shared" si="9"/>
        <v>715.29532649112673</v>
      </c>
      <c r="D118" s="11">
        <f t="shared" si="10"/>
        <v>515.01263507361125</v>
      </c>
      <c r="F118" s="19">
        <f t="shared" si="8"/>
        <v>150.21201856313661</v>
      </c>
      <c r="G118" s="395">
        <f t="shared" si="11"/>
        <v>364.80061651047464</v>
      </c>
      <c r="I118">
        <v>30</v>
      </c>
      <c r="J118" s="63">
        <f t="shared" si="12"/>
        <v>50.220092476571196</v>
      </c>
      <c r="K118" s="63">
        <f t="shared" si="5"/>
        <v>80.220092476571196</v>
      </c>
      <c r="L118" s="63">
        <f t="shared" si="13"/>
        <v>284.58052403390343</v>
      </c>
      <c r="M118" s="63">
        <f t="shared" si="7"/>
        <v>364.80061651047464</v>
      </c>
      <c r="S118">
        <v>785</v>
      </c>
      <c r="V118">
        <v>935</v>
      </c>
    </row>
    <row r="119" spans="1:22">
      <c r="A119" s="81" t="s">
        <v>386</v>
      </c>
      <c r="B119" s="518">
        <v>2061</v>
      </c>
      <c r="C119" s="77">
        <f t="shared" si="9"/>
        <v>718.15650779709119</v>
      </c>
      <c r="D119" s="11">
        <f t="shared" si="10"/>
        <v>517.07268561390561</v>
      </c>
      <c r="F119" s="19">
        <f t="shared" si="8"/>
        <v>150.81286663738913</v>
      </c>
      <c r="G119" s="395">
        <f t="shared" si="11"/>
        <v>366.2598189765165</v>
      </c>
      <c r="I119">
        <v>30</v>
      </c>
      <c r="J119" s="63">
        <f t="shared" si="12"/>
        <v>50.438972846477476</v>
      </c>
      <c r="K119" s="63">
        <f t="shared" si="5"/>
        <v>80.438972846477469</v>
      </c>
      <c r="L119" s="63">
        <f t="shared" si="13"/>
        <v>285.820846130039</v>
      </c>
      <c r="M119" s="63">
        <f t="shared" si="7"/>
        <v>366.2598189765165</v>
      </c>
      <c r="S119">
        <v>788</v>
      </c>
      <c r="V119">
        <v>939</v>
      </c>
    </row>
    <row r="120" spans="1:22">
      <c r="A120" s="81" t="s">
        <v>335</v>
      </c>
      <c r="B120" s="518">
        <v>2062</v>
      </c>
      <c r="C120" s="77">
        <f t="shared" si="9"/>
        <v>721.02913382827956</v>
      </c>
      <c r="D120" s="11">
        <f t="shared" si="10"/>
        <v>519.14097635636131</v>
      </c>
      <c r="F120" s="19">
        <f t="shared" si="8"/>
        <v>151.41611810393871</v>
      </c>
      <c r="G120" s="395">
        <f t="shared" si="11"/>
        <v>367.72485825242256</v>
      </c>
      <c r="I120">
        <v>30</v>
      </c>
      <c r="J120" s="63">
        <f t="shared" si="12"/>
        <v>50.658728737863385</v>
      </c>
      <c r="K120" s="63">
        <f t="shared" si="5"/>
        <v>80.658728737863385</v>
      </c>
      <c r="L120" s="63">
        <f t="shared" si="13"/>
        <v>287.06612951455918</v>
      </c>
      <c r="M120" s="63">
        <f t="shared" si="7"/>
        <v>367.72485825242256</v>
      </c>
      <c r="S120">
        <v>792</v>
      </c>
      <c r="V120">
        <v>943</v>
      </c>
    </row>
    <row r="121" spans="1:22">
      <c r="A121" s="81" t="s">
        <v>336</v>
      </c>
      <c r="B121" s="518">
        <v>2063</v>
      </c>
      <c r="C121" s="77">
        <f t="shared" si="9"/>
        <v>723.91325036359262</v>
      </c>
      <c r="D121" s="11">
        <f t="shared" si="10"/>
        <v>521.21754026178667</v>
      </c>
      <c r="F121" s="19">
        <f t="shared" si="8"/>
        <v>152.02178257635444</v>
      </c>
      <c r="G121" s="395">
        <f t="shared" si="11"/>
        <v>369.19575768543223</v>
      </c>
      <c r="I121">
        <v>30</v>
      </c>
      <c r="J121" s="63">
        <f t="shared" si="12"/>
        <v>50.879363652814831</v>
      </c>
      <c r="K121" s="63">
        <f t="shared" si="5"/>
        <v>80.879363652814831</v>
      </c>
      <c r="L121" s="63">
        <f t="shared" si="13"/>
        <v>288.31639403261738</v>
      </c>
      <c r="M121" s="63">
        <f t="shared" si="7"/>
        <v>369.19575768543223</v>
      </c>
      <c r="S121">
        <v>795</v>
      </c>
      <c r="V121">
        <v>947</v>
      </c>
    </row>
    <row r="122" spans="1:22">
      <c r="A122" s="81" t="s">
        <v>337</v>
      </c>
      <c r="B122" s="518">
        <v>2064</v>
      </c>
      <c r="C122" s="77">
        <f t="shared" si="9"/>
        <v>726.80890336504694</v>
      </c>
      <c r="D122" s="11">
        <f t="shared" si="10"/>
        <v>523.30241042283376</v>
      </c>
      <c r="F122" s="19">
        <f t="shared" si="8"/>
        <v>152.62986970665986</v>
      </c>
      <c r="G122" s="395">
        <f t="shared" si="11"/>
        <v>370.6725407161739</v>
      </c>
      <c r="I122">
        <v>30</v>
      </c>
      <c r="J122" s="63">
        <f t="shared" si="12"/>
        <v>51.100881107426083</v>
      </c>
      <c r="K122" s="63">
        <f t="shared" si="5"/>
        <v>81.10088110742609</v>
      </c>
      <c r="L122" s="63">
        <f t="shared" si="13"/>
        <v>289.57165960874778</v>
      </c>
      <c r="M122" s="63">
        <f t="shared" si="7"/>
        <v>370.6725407161739</v>
      </c>
      <c r="S122">
        <v>798</v>
      </c>
      <c r="V122">
        <v>951</v>
      </c>
    </row>
    <row r="123" spans="1:22">
      <c r="A123" s="81" t="s">
        <v>338</v>
      </c>
      <c r="B123" s="518">
        <v>2065</v>
      </c>
      <c r="C123" s="77">
        <f t="shared" si="9"/>
        <v>729.71613897850716</v>
      </c>
      <c r="D123" s="11">
        <f t="shared" si="10"/>
        <v>525.39562006452513</v>
      </c>
      <c r="F123" s="19">
        <f t="shared" si="8"/>
        <v>153.24038918548649</v>
      </c>
      <c r="G123" s="395">
        <f t="shared" si="11"/>
        <v>372.15523087903864</v>
      </c>
      <c r="I123">
        <v>30</v>
      </c>
      <c r="J123" s="63">
        <f t="shared" si="12"/>
        <v>51.323284631855792</v>
      </c>
      <c r="K123" s="63">
        <f t="shared" si="5"/>
        <v>81.323284631855785</v>
      </c>
      <c r="L123" s="63">
        <f t="shared" si="13"/>
        <v>290.83194624718283</v>
      </c>
      <c r="M123" s="63">
        <f t="shared" si="7"/>
        <v>372.15523087903864</v>
      </c>
      <c r="S123">
        <v>801</v>
      </c>
      <c r="V123">
        <v>954</v>
      </c>
    </row>
    <row r="124" spans="1:22">
      <c r="A124" s="81" t="s">
        <v>339</v>
      </c>
      <c r="B124" s="518">
        <v>2066</v>
      </c>
      <c r="C124" s="77">
        <f t="shared" si="9"/>
        <v>732.63500353442123</v>
      </c>
      <c r="D124" s="11">
        <f t="shared" si="10"/>
        <v>527.49720254478325</v>
      </c>
      <c r="F124" s="19">
        <f t="shared" si="8"/>
        <v>153.85335074222846</v>
      </c>
      <c r="G124" s="395">
        <f t="shared" si="11"/>
        <v>373.64385180255476</v>
      </c>
      <c r="I124">
        <v>30</v>
      </c>
      <c r="J124" s="63">
        <f t="shared" si="12"/>
        <v>51.546577770383216</v>
      </c>
      <c r="K124" s="63">
        <f t="shared" si="5"/>
        <v>81.546577770383209</v>
      </c>
      <c r="L124" s="63">
        <f t="shared" si="13"/>
        <v>292.09727403217153</v>
      </c>
      <c r="M124" s="63">
        <f t="shared" si="7"/>
        <v>373.64385180255476</v>
      </c>
      <c r="S124">
        <v>804</v>
      </c>
      <c r="V124">
        <v>958</v>
      </c>
    </row>
    <row r="125" spans="1:22">
      <c r="A125" s="81" t="s">
        <v>340</v>
      </c>
      <c r="B125" s="518">
        <v>2067</v>
      </c>
      <c r="C125" s="77">
        <f t="shared" si="9"/>
        <v>735.56554354855894</v>
      </c>
      <c r="D125" s="11">
        <f t="shared" si="10"/>
        <v>529.60719135496242</v>
      </c>
      <c r="F125" s="19">
        <f t="shared" si="8"/>
        <v>154.46876414519738</v>
      </c>
      <c r="G125" s="395">
        <f t="shared" si="11"/>
        <v>375.13842720976504</v>
      </c>
      <c r="I125">
        <v>30</v>
      </c>
      <c r="J125" s="63">
        <f t="shared" si="12"/>
        <v>51.770764081464755</v>
      </c>
      <c r="K125" s="63">
        <f t="shared" si="5"/>
        <v>81.770764081464762</v>
      </c>
      <c r="L125" s="63">
        <f t="shared" si="13"/>
        <v>293.36766312830025</v>
      </c>
      <c r="M125" s="63">
        <f t="shared" si="7"/>
        <v>375.13842720976504</v>
      </c>
      <c r="S125">
        <v>808</v>
      </c>
      <c r="V125">
        <v>962</v>
      </c>
    </row>
    <row r="126" spans="1:22">
      <c r="A126" s="81" t="s">
        <v>341</v>
      </c>
      <c r="B126" s="518">
        <v>2068</v>
      </c>
      <c r="C126" s="77">
        <f t="shared" si="9"/>
        <v>738.50780572275312</v>
      </c>
      <c r="D126" s="11">
        <f t="shared" si="10"/>
        <v>531.72562012038225</v>
      </c>
      <c r="F126" s="19">
        <f t="shared" si="8"/>
        <v>155.08663920177815</v>
      </c>
      <c r="G126" s="395">
        <f t="shared" si="11"/>
        <v>376.63898091860409</v>
      </c>
      <c r="I126">
        <v>30</v>
      </c>
      <c r="J126" s="63">
        <f t="shared" si="12"/>
        <v>51.995847137790612</v>
      </c>
      <c r="K126" s="63">
        <f t="shared" si="5"/>
        <v>81.995847137790605</v>
      </c>
      <c r="L126" s="63">
        <f t="shared" si="13"/>
        <v>294.64313378081346</v>
      </c>
      <c r="M126" s="63">
        <f t="shared" si="7"/>
        <v>376.63898091860403</v>
      </c>
      <c r="S126">
        <v>811</v>
      </c>
      <c r="V126">
        <v>966</v>
      </c>
    </row>
    <row r="127" spans="1:22">
      <c r="A127" s="81" t="s">
        <v>342</v>
      </c>
      <c r="B127" s="518">
        <v>2069</v>
      </c>
      <c r="C127" s="77">
        <f t="shared" si="9"/>
        <v>741.46183694564411</v>
      </c>
      <c r="D127" s="11">
        <f t="shared" si="10"/>
        <v>533.85252260086372</v>
      </c>
      <c r="F127" s="19">
        <f t="shared" si="8"/>
        <v>155.70698575858526</v>
      </c>
      <c r="G127" s="395">
        <f t="shared" si="11"/>
        <v>378.14553684227849</v>
      </c>
      <c r="I127">
        <v>30</v>
      </c>
      <c r="J127" s="63">
        <f t="shared" si="12"/>
        <v>52.221830526341769</v>
      </c>
      <c r="K127" s="63">
        <f t="shared" si="5"/>
        <v>82.221830526341762</v>
      </c>
      <c r="L127" s="63">
        <f t="shared" si="13"/>
        <v>295.92370631593673</v>
      </c>
      <c r="M127" s="63">
        <f t="shared" si="7"/>
        <v>378.14553684227849</v>
      </c>
      <c r="S127">
        <v>814</v>
      </c>
      <c r="V127">
        <v>970</v>
      </c>
    </row>
    <row r="128" spans="1:22">
      <c r="A128" s="81" t="s">
        <v>387</v>
      </c>
      <c r="B128" s="518">
        <v>2070</v>
      </c>
      <c r="C128" s="77">
        <f t="shared" si="9"/>
        <v>744.42768429342664</v>
      </c>
      <c r="D128" s="11">
        <f t="shared" si="10"/>
        <v>535.98793269126713</v>
      </c>
      <c r="F128" s="19">
        <f t="shared" si="8"/>
        <v>156.3298137016196</v>
      </c>
      <c r="G128" s="395">
        <f t="shared" si="11"/>
        <v>379.65811898964751</v>
      </c>
      <c r="I128">
        <v>30</v>
      </c>
      <c r="J128" s="63">
        <f t="shared" si="12"/>
        <v>52.448717848447124</v>
      </c>
      <c r="K128" s="63">
        <f t="shared" si="5"/>
        <v>82.448717848447131</v>
      </c>
      <c r="L128" s="63">
        <f t="shared" si="13"/>
        <v>297.20940114120037</v>
      </c>
      <c r="M128" s="63">
        <f t="shared" si="7"/>
        <v>379.65811898964751</v>
      </c>
      <c r="S128">
        <v>817</v>
      </c>
      <c r="V128">
        <v>974</v>
      </c>
    </row>
    <row r="129" spans="1:22">
      <c r="A129" s="81" t="s">
        <v>388</v>
      </c>
      <c r="B129" s="518">
        <v>2071</v>
      </c>
      <c r="C129" s="77">
        <f t="shared" si="9"/>
        <v>747.4053950306004</v>
      </c>
      <c r="D129" s="11">
        <f t="shared" si="10"/>
        <v>538.13188442203227</v>
      </c>
      <c r="F129" s="19">
        <f t="shared" si="8"/>
        <v>156.95513295642607</v>
      </c>
      <c r="G129" s="395">
        <f t="shared" si="11"/>
        <v>381.17675146560623</v>
      </c>
      <c r="I129">
        <v>30</v>
      </c>
      <c r="J129" s="63">
        <f t="shared" si="12"/>
        <v>52.676512719840936</v>
      </c>
      <c r="K129" s="63">
        <f t="shared" si="5"/>
        <v>82.676512719840929</v>
      </c>
      <c r="L129" s="63">
        <f t="shared" si="13"/>
        <v>298.50023874576527</v>
      </c>
      <c r="M129" s="63">
        <f t="shared" si="7"/>
        <v>381.17675146560623</v>
      </c>
      <c r="S129">
        <v>818</v>
      </c>
      <c r="V129">
        <v>975</v>
      </c>
    </row>
    <row r="130" spans="1:22">
      <c r="A130" s="81" t="s">
        <v>343</v>
      </c>
      <c r="B130" s="518">
        <v>2072</v>
      </c>
      <c r="C130" s="77">
        <f t="shared" si="9"/>
        <v>750.39501661072279</v>
      </c>
      <c r="D130" s="11">
        <f t="shared" si="10"/>
        <v>540.28441195972039</v>
      </c>
      <c r="F130" s="19">
        <f t="shared" si="8"/>
        <v>157.58295348825177</v>
      </c>
      <c r="G130" s="395">
        <f t="shared" si="11"/>
        <v>382.70145847146864</v>
      </c>
      <c r="I130">
        <v>30</v>
      </c>
      <c r="J130" s="63">
        <f t="shared" si="12"/>
        <v>52.905218770720296</v>
      </c>
      <c r="K130" s="63">
        <f t="shared" si="5"/>
        <v>82.905218770720296</v>
      </c>
      <c r="L130" s="63">
        <f t="shared" si="13"/>
        <v>299.79623970074834</v>
      </c>
      <c r="M130" s="63">
        <f t="shared" si="7"/>
        <v>382.70145847146864</v>
      </c>
      <c r="S130">
        <v>824</v>
      </c>
      <c r="V130">
        <v>982</v>
      </c>
    </row>
    <row r="131" spans="1:22">
      <c r="A131" s="81" t="s">
        <v>344</v>
      </c>
      <c r="B131" s="518">
        <v>2073</v>
      </c>
      <c r="C131" s="77">
        <f t="shared" si="9"/>
        <v>753.39659667716569</v>
      </c>
      <c r="D131" s="11">
        <f t="shared" si="10"/>
        <v>542.44554960755931</v>
      </c>
      <c r="F131" s="19">
        <f t="shared" si="8"/>
        <v>158.21328530220478</v>
      </c>
      <c r="G131" s="395">
        <f t="shared" si="11"/>
        <v>384.23226430535453</v>
      </c>
      <c r="I131">
        <v>30</v>
      </c>
      <c r="J131" s="63">
        <f t="shared" si="12"/>
        <v>53.134839645803176</v>
      </c>
      <c r="K131" s="63">
        <f t="shared" si="5"/>
        <v>83.134839645803169</v>
      </c>
      <c r="L131" s="63">
        <f t="shared" si="13"/>
        <v>301.09742465955134</v>
      </c>
      <c r="M131" s="63">
        <f t="shared" si="7"/>
        <v>384.23226430535453</v>
      </c>
      <c r="S131">
        <v>827</v>
      </c>
      <c r="V131">
        <v>985</v>
      </c>
    </row>
    <row r="132" spans="1:22">
      <c r="A132" s="81" t="s">
        <v>345</v>
      </c>
      <c r="B132" s="518">
        <v>2074</v>
      </c>
      <c r="C132" s="77">
        <f t="shared" si="9"/>
        <v>756.41018306387434</v>
      </c>
      <c r="D132" s="11">
        <f t="shared" si="10"/>
        <v>544.61533180598951</v>
      </c>
      <c r="F132" s="19">
        <f t="shared" si="8"/>
        <v>158.84613844341359</v>
      </c>
      <c r="G132" s="395">
        <f t="shared" si="11"/>
        <v>385.76919336257595</v>
      </c>
      <c r="I132">
        <v>30</v>
      </c>
      <c r="J132" s="63">
        <f t="shared" si="12"/>
        <v>53.365379004386391</v>
      </c>
      <c r="K132" s="63">
        <f t="shared" si="5"/>
        <v>83.365379004386398</v>
      </c>
      <c r="L132" s="63">
        <f t="shared" si="13"/>
        <v>302.40381435818955</v>
      </c>
      <c r="M132" s="63">
        <f t="shared" si="7"/>
        <v>385.76919336257595</v>
      </c>
      <c r="S132">
        <v>831</v>
      </c>
      <c r="V132">
        <v>989</v>
      </c>
    </row>
    <row r="133" spans="1:22">
      <c r="A133" s="81" t="s">
        <v>346</v>
      </c>
      <c r="B133" s="518">
        <v>2075</v>
      </c>
      <c r="C133" s="77">
        <f t="shared" si="9"/>
        <v>759.43582379612985</v>
      </c>
      <c r="D133" s="11">
        <f t="shared" si="10"/>
        <v>546.79379313321351</v>
      </c>
      <c r="F133" s="19">
        <f t="shared" si="8"/>
        <v>159.48152299718726</v>
      </c>
      <c r="G133" s="395">
        <f t="shared" si="11"/>
        <v>387.31227013602626</v>
      </c>
      <c r="I133">
        <v>30</v>
      </c>
      <c r="J133" s="63">
        <f t="shared" si="12"/>
        <v>53.596840520403937</v>
      </c>
      <c r="K133" s="63">
        <f t="shared" si="5"/>
        <v>83.59684052040393</v>
      </c>
      <c r="L133" s="63">
        <f t="shared" si="13"/>
        <v>303.71542961562233</v>
      </c>
      <c r="M133" s="63">
        <f t="shared" si="7"/>
        <v>387.31227013602626</v>
      </c>
      <c r="S133">
        <v>834</v>
      </c>
      <c r="V133">
        <v>993</v>
      </c>
    </row>
    <row r="134" spans="1:22">
      <c r="A134" s="81" t="s">
        <v>347</v>
      </c>
      <c r="B134" s="518">
        <v>2076</v>
      </c>
      <c r="C134" s="77">
        <f t="shared" si="9"/>
        <v>762.47356709131441</v>
      </c>
      <c r="D134" s="11">
        <f t="shared" si="10"/>
        <v>548.98096830574639</v>
      </c>
      <c r="F134" s="19">
        <f t="shared" si="8"/>
        <v>160.11944908917602</v>
      </c>
      <c r="G134" s="395">
        <f t="shared" si="11"/>
        <v>388.8615192165704</v>
      </c>
      <c r="I134">
        <v>30</v>
      </c>
      <c r="J134" s="63">
        <f t="shared" si="12"/>
        <v>53.829227882485561</v>
      </c>
      <c r="K134" s="63">
        <f t="shared" si="5"/>
        <v>83.829227882485554</v>
      </c>
      <c r="L134" s="63">
        <f t="shared" si="13"/>
        <v>305.03229133408485</v>
      </c>
      <c r="M134" s="63">
        <f t="shared" si="7"/>
        <v>388.8615192165704</v>
      </c>
      <c r="S134">
        <v>837</v>
      </c>
      <c r="V134">
        <v>997</v>
      </c>
    </row>
    <row r="135" spans="1:22">
      <c r="A135" s="81" t="s">
        <v>348</v>
      </c>
      <c r="B135" s="518">
        <v>2077</v>
      </c>
      <c r="C135" s="77">
        <f t="shared" si="9"/>
        <v>765.52346135967969</v>
      </c>
      <c r="D135" s="11">
        <f t="shared" si="10"/>
        <v>551.17689217896941</v>
      </c>
      <c r="F135" s="19">
        <f t="shared" si="8"/>
        <v>160.75992688553274</v>
      </c>
      <c r="G135" s="395">
        <f t="shared" si="11"/>
        <v>390.41696529343665</v>
      </c>
      <c r="I135">
        <v>30</v>
      </c>
      <c r="J135" s="63">
        <f t="shared" si="12"/>
        <v>54.062544794015494</v>
      </c>
      <c r="K135" s="63">
        <f t="shared" si="5"/>
        <v>84.062544794015494</v>
      </c>
      <c r="L135" s="63">
        <f t="shared" si="13"/>
        <v>306.35442049942117</v>
      </c>
      <c r="M135" s="63">
        <f t="shared" si="7"/>
        <v>390.41696529343665</v>
      </c>
      <c r="S135">
        <v>840</v>
      </c>
      <c r="V135">
        <v>1001</v>
      </c>
    </row>
    <row r="136" spans="1:22">
      <c r="A136" s="81" t="s">
        <v>349</v>
      </c>
      <c r="B136" s="518">
        <v>2078</v>
      </c>
      <c r="C136" s="77">
        <f t="shared" si="9"/>
        <v>768.58555520511845</v>
      </c>
      <c r="D136" s="11">
        <f t="shared" si="10"/>
        <v>553.3815997476853</v>
      </c>
      <c r="F136" s="19">
        <f t="shared" si="8"/>
        <v>161.40296659307486</v>
      </c>
      <c r="G136" s="395">
        <f t="shared" si="11"/>
        <v>391.97863315461041</v>
      </c>
      <c r="I136">
        <v>30</v>
      </c>
      <c r="J136" s="63">
        <f t="shared" si="12"/>
        <v>54.29679497319156</v>
      </c>
      <c r="K136" s="63">
        <f t="shared" si="5"/>
        <v>84.296794973191567</v>
      </c>
      <c r="L136" s="63">
        <f t="shared" si="13"/>
        <v>307.68183818141881</v>
      </c>
      <c r="M136" s="63">
        <f t="shared" si="7"/>
        <v>391.97863315461041</v>
      </c>
      <c r="S136">
        <v>844</v>
      </c>
      <c r="V136">
        <v>1005</v>
      </c>
    </row>
    <row r="137" spans="1:22">
      <c r="A137" s="81" t="s">
        <v>350</v>
      </c>
      <c r="B137" s="518">
        <v>2079</v>
      </c>
      <c r="C137" s="77">
        <f t="shared" si="9"/>
        <v>771.65989742593888</v>
      </c>
      <c r="D137" s="11">
        <f t="shared" si="10"/>
        <v>555.59512614667597</v>
      </c>
      <c r="F137" s="19">
        <f t="shared" si="8"/>
        <v>162.04857845944716</v>
      </c>
      <c r="G137" s="395">
        <f t="shared" si="11"/>
        <v>393.54654768722878</v>
      </c>
      <c r="I137">
        <v>30</v>
      </c>
      <c r="J137" s="63">
        <f t="shared" si="12"/>
        <v>54.531982153084314</v>
      </c>
      <c r="K137" s="63">
        <f t="shared" si="5"/>
        <v>84.531982153084314</v>
      </c>
      <c r="L137" s="63">
        <f t="shared" si="13"/>
        <v>309.01456553414448</v>
      </c>
      <c r="M137" s="63">
        <f t="shared" si="7"/>
        <v>393.54654768722878</v>
      </c>
      <c r="S137">
        <v>847</v>
      </c>
      <c r="V137">
        <v>1009</v>
      </c>
    </row>
    <row r="138" spans="1:22">
      <c r="A138" s="81" t="s">
        <v>389</v>
      </c>
      <c r="B138" s="518">
        <v>2080</v>
      </c>
      <c r="C138" s="77">
        <f t="shared" si="9"/>
        <v>774.74653701564262</v>
      </c>
      <c r="D138" s="11">
        <f t="shared" si="10"/>
        <v>557.81750665126265</v>
      </c>
      <c r="F138" s="19">
        <f t="shared" si="8"/>
        <v>162.69677277328495</v>
      </c>
      <c r="G138" s="395">
        <f t="shared" si="11"/>
        <v>395.12073387797773</v>
      </c>
      <c r="I138">
        <v>30</v>
      </c>
      <c r="J138" s="63">
        <f t="shared" si="12"/>
        <v>54.768110081696655</v>
      </c>
      <c r="K138" s="63">
        <f t="shared" si="5"/>
        <v>84.768110081696648</v>
      </c>
      <c r="L138" s="63">
        <f t="shared" si="13"/>
        <v>310.35262379628108</v>
      </c>
      <c r="M138" s="63">
        <f t="shared" si="7"/>
        <v>395.12073387797773</v>
      </c>
      <c r="S138">
        <v>851</v>
      </c>
      <c r="V138">
        <v>1013</v>
      </c>
    </row>
    <row r="139" spans="1:22">
      <c r="A139" s="81" t="s">
        <v>390</v>
      </c>
      <c r="B139" s="518">
        <v>2081</v>
      </c>
      <c r="C139" s="77">
        <f t="shared" si="9"/>
        <v>777.84552316370514</v>
      </c>
      <c r="D139" s="11">
        <f t="shared" si="10"/>
        <v>560.04877667786764</v>
      </c>
      <c r="F139" s="19">
        <f t="shared" si="8"/>
        <v>163.34755986437807</v>
      </c>
      <c r="G139" s="395">
        <f t="shared" si="11"/>
        <v>396.70121681348957</v>
      </c>
      <c r="I139">
        <v>30</v>
      </c>
      <c r="J139" s="63">
        <f t="shared" si="12"/>
        <v>55.005182522023432</v>
      </c>
      <c r="K139" s="63">
        <f t="shared" si="5"/>
        <v>85.005182522023432</v>
      </c>
      <c r="L139" s="63">
        <f t="shared" si="13"/>
        <v>311.69603429146611</v>
      </c>
      <c r="M139" s="63">
        <f t="shared" si="7"/>
        <v>396.70121681348951</v>
      </c>
      <c r="S139">
        <v>854</v>
      </c>
      <c r="V139">
        <v>1017</v>
      </c>
    </row>
    <row r="140" spans="1:22">
      <c r="A140" s="81" t="s">
        <v>351</v>
      </c>
      <c r="B140" s="518">
        <v>2082</v>
      </c>
      <c r="C140" s="77">
        <f t="shared" si="9"/>
        <v>780.95690525635996</v>
      </c>
      <c r="D140" s="11">
        <f t="shared" si="10"/>
        <v>562.28897178457919</v>
      </c>
      <c r="F140" s="19">
        <f t="shared" si="8"/>
        <v>164.00095010383558</v>
      </c>
      <c r="G140" s="395">
        <f t="shared" si="11"/>
        <v>398.28802168074361</v>
      </c>
      <c r="I140">
        <v>30</v>
      </c>
      <c r="J140" s="63">
        <f t="shared" si="12"/>
        <v>55.243203252111542</v>
      </c>
      <c r="K140" s="63">
        <f t="shared" si="5"/>
        <v>85.243203252111542</v>
      </c>
      <c r="L140" s="63">
        <f t="shared" si="13"/>
        <v>313.04481842863208</v>
      </c>
      <c r="M140" s="63">
        <f t="shared" si="7"/>
        <v>398.28802168074361</v>
      </c>
      <c r="S140">
        <v>857</v>
      </c>
      <c r="V140">
        <v>1021</v>
      </c>
    </row>
    <row r="141" spans="1:22">
      <c r="A141" s="81" t="s">
        <v>352</v>
      </c>
      <c r="B141" s="518">
        <v>2083</v>
      </c>
      <c r="C141" s="77">
        <f t="shared" si="9"/>
        <v>784.08073287738546</v>
      </c>
      <c r="D141" s="11">
        <f t="shared" si="10"/>
        <v>564.53812767171746</v>
      </c>
      <c r="F141" s="19">
        <f t="shared" si="8"/>
        <v>164.65695390425094</v>
      </c>
      <c r="G141" s="395">
        <f t="shared" si="11"/>
        <v>399.88117376746652</v>
      </c>
      <c r="I141">
        <v>30</v>
      </c>
      <c r="J141" s="63">
        <f t="shared" si="12"/>
        <v>55.48217606511998</v>
      </c>
      <c r="K141" s="63">
        <f t="shared" si="5"/>
        <v>85.482176065119972</v>
      </c>
      <c r="L141" s="63">
        <f t="shared" si="13"/>
        <v>314.39899770234655</v>
      </c>
      <c r="M141" s="63">
        <f t="shared" si="7"/>
        <v>399.88117376746652</v>
      </c>
      <c r="S141">
        <v>861</v>
      </c>
      <c r="V141">
        <v>1025</v>
      </c>
    </row>
    <row r="142" spans="1:22">
      <c r="A142" s="81" t="s">
        <v>353</v>
      </c>
      <c r="B142" s="518">
        <v>2084</v>
      </c>
      <c r="C142" s="77">
        <f t="shared" si="9"/>
        <v>787.217055808895</v>
      </c>
      <c r="D142" s="11">
        <f t="shared" si="10"/>
        <v>566.79628018240442</v>
      </c>
      <c r="F142" s="19">
        <f t="shared" si="8"/>
        <v>165.31558171986794</v>
      </c>
      <c r="G142" s="395">
        <f t="shared" si="11"/>
        <v>401.48069846253645</v>
      </c>
      <c r="I142">
        <v>30</v>
      </c>
      <c r="J142" s="63">
        <f t="shared" si="12"/>
        <v>55.722104769380465</v>
      </c>
      <c r="K142" s="63">
        <f t="shared" si="5"/>
        <v>85.722104769380465</v>
      </c>
      <c r="L142" s="63">
        <f t="shared" si="13"/>
        <v>315.758593693156</v>
      </c>
      <c r="M142" s="63">
        <f t="shared" si="7"/>
        <v>401.48069846253645</v>
      </c>
      <c r="S142">
        <v>864</v>
      </c>
      <c r="V142">
        <v>1030</v>
      </c>
    </row>
    <row r="143" spans="1:22">
      <c r="A143" s="81" t="s">
        <v>354</v>
      </c>
      <c r="B143" s="518">
        <v>2085</v>
      </c>
      <c r="C143" s="77">
        <f t="shared" si="9"/>
        <v>790.36592403213058</v>
      </c>
      <c r="D143" s="11">
        <f t="shared" ref="D143:D174" si="14">C143*0.72</f>
        <v>569.06346530313397</v>
      </c>
      <c r="F143" s="19">
        <f t="shared" si="8"/>
        <v>165.9768440467474</v>
      </c>
      <c r="G143" s="395">
        <f t="shared" ref="G143:G174" si="15">D143-F143</f>
        <v>403.08662125638659</v>
      </c>
      <c r="I143">
        <v>30</v>
      </c>
      <c r="J143" s="63">
        <f t="shared" ref="J143:J174" si="16">(G143-I143)*0.15</f>
        <v>55.962993188457986</v>
      </c>
      <c r="K143" s="63">
        <f t="shared" si="5"/>
        <v>85.962993188457986</v>
      </c>
      <c r="L143" s="63">
        <f t="shared" ref="L143:L175" si="17">(G143-I143)*0.85</f>
        <v>317.12362806792862</v>
      </c>
      <c r="M143" s="63">
        <f t="shared" si="7"/>
        <v>403.08662125638659</v>
      </c>
      <c r="S143">
        <v>868</v>
      </c>
      <c r="V143">
        <v>1034</v>
      </c>
    </row>
    <row r="144" spans="1:22">
      <c r="A144" s="81" t="s">
        <v>355</v>
      </c>
      <c r="B144" s="518">
        <v>2086</v>
      </c>
      <c r="C144" s="77">
        <f t="shared" si="9"/>
        <v>793.5273877282591</v>
      </c>
      <c r="D144" s="11">
        <f t="shared" si="14"/>
        <v>571.33971916434655</v>
      </c>
      <c r="F144" s="19">
        <f t="shared" si="8"/>
        <v>166.64075142293441</v>
      </c>
      <c r="G144" s="395">
        <f t="shared" si="15"/>
        <v>404.69896774141216</v>
      </c>
      <c r="I144">
        <v>30</v>
      </c>
      <c r="J144" s="63">
        <f t="shared" si="16"/>
        <v>56.204845161211821</v>
      </c>
      <c r="K144" s="63">
        <f t="shared" ref="K144:K175" si="18">I144+J144</f>
        <v>86.204845161211821</v>
      </c>
      <c r="L144" s="63">
        <f t="shared" si="17"/>
        <v>318.49412258020033</v>
      </c>
      <c r="M144" s="63">
        <f t="shared" si="7"/>
        <v>404.69896774141216</v>
      </c>
      <c r="S144">
        <v>871</v>
      </c>
      <c r="V144">
        <v>1038</v>
      </c>
    </row>
    <row r="145" spans="1:22">
      <c r="A145" s="81" t="s">
        <v>356</v>
      </c>
      <c r="B145" s="518">
        <v>2087</v>
      </c>
      <c r="C145" s="77">
        <f t="shared" si="9"/>
        <v>796.70149727917214</v>
      </c>
      <c r="D145" s="11">
        <f t="shared" si="14"/>
        <v>573.62507804100392</v>
      </c>
      <c r="F145" s="19">
        <f t="shared" si="8"/>
        <v>167.30731442862614</v>
      </c>
      <c r="G145" s="395">
        <f t="shared" si="15"/>
        <v>406.3177636123778</v>
      </c>
      <c r="I145">
        <v>30</v>
      </c>
      <c r="J145" s="63">
        <f t="shared" si="16"/>
        <v>56.447664541856668</v>
      </c>
      <c r="K145" s="63">
        <f t="shared" si="18"/>
        <v>86.447664541856668</v>
      </c>
      <c r="L145" s="63">
        <f t="shared" si="17"/>
        <v>319.87009907052112</v>
      </c>
      <c r="M145" s="63">
        <f t="shared" si="7"/>
        <v>406.3177636123778</v>
      </c>
      <c r="S145">
        <v>875</v>
      </c>
      <c r="V145">
        <v>1042</v>
      </c>
    </row>
    <row r="146" spans="1:22">
      <c r="A146" s="81" t="s">
        <v>357</v>
      </c>
      <c r="B146" s="518">
        <v>2088</v>
      </c>
      <c r="C146" s="77">
        <f t="shared" si="9"/>
        <v>799.88830326828884</v>
      </c>
      <c r="D146" s="11">
        <f t="shared" si="14"/>
        <v>575.91957835316794</v>
      </c>
      <c r="F146" s="19">
        <f t="shared" si="8"/>
        <v>167.97654368634065</v>
      </c>
      <c r="G146" s="395">
        <f t="shared" si="15"/>
        <v>407.94303466682732</v>
      </c>
      <c r="I146">
        <v>30</v>
      </c>
      <c r="J146" s="63">
        <f t="shared" si="16"/>
        <v>56.691455200024095</v>
      </c>
      <c r="K146" s="63">
        <f t="shared" si="18"/>
        <v>86.691455200024095</v>
      </c>
      <c r="L146" s="63">
        <f t="shared" si="17"/>
        <v>321.25157946680321</v>
      </c>
      <c r="M146" s="63">
        <f t="shared" si="7"/>
        <v>407.94303466682732</v>
      </c>
      <c r="S146">
        <v>878</v>
      </c>
      <c r="V146">
        <v>1046</v>
      </c>
    </row>
    <row r="147" spans="1:22">
      <c r="A147" s="81" t="s">
        <v>358</v>
      </c>
      <c r="B147" s="518">
        <v>2089</v>
      </c>
      <c r="C147" s="77">
        <f t="shared" si="9"/>
        <v>803.087856481362</v>
      </c>
      <c r="D147" s="11">
        <f t="shared" si="14"/>
        <v>578.2232566665806</v>
      </c>
      <c r="F147" s="19">
        <f t="shared" si="8"/>
        <v>168.64844986108602</v>
      </c>
      <c r="G147" s="395">
        <f t="shared" si="15"/>
        <v>409.57480680549457</v>
      </c>
      <c r="I147">
        <v>30</v>
      </c>
      <c r="J147" s="63">
        <f t="shared" si="16"/>
        <v>56.936221020824185</v>
      </c>
      <c r="K147" s="63">
        <f t="shared" si="18"/>
        <v>86.936221020824178</v>
      </c>
      <c r="L147" s="63">
        <f t="shared" si="17"/>
        <v>322.6385857846704</v>
      </c>
      <c r="M147" s="63">
        <f t="shared" si="7"/>
        <v>409.57480680549457</v>
      </c>
      <c r="S147">
        <v>882</v>
      </c>
      <c r="V147">
        <v>1050</v>
      </c>
    </row>
    <row r="148" spans="1:22">
      <c r="A148" s="81" t="s">
        <v>391</v>
      </c>
      <c r="B148" s="518">
        <v>2090</v>
      </c>
      <c r="C148" s="77">
        <f t="shared" si="9"/>
        <v>806.30020790728747</v>
      </c>
      <c r="D148" s="11">
        <f t="shared" si="14"/>
        <v>580.53614969324701</v>
      </c>
      <c r="F148" s="19">
        <f t="shared" si="8"/>
        <v>169.32304366053037</v>
      </c>
      <c r="G148" s="395">
        <f t="shared" si="15"/>
        <v>411.21310603271661</v>
      </c>
      <c r="I148">
        <v>30</v>
      </c>
      <c r="J148" s="63">
        <f t="shared" si="16"/>
        <v>57.181965904907493</v>
      </c>
      <c r="K148" s="63">
        <f t="shared" si="18"/>
        <v>87.181965904907486</v>
      </c>
      <c r="L148" s="63">
        <f t="shared" si="17"/>
        <v>324.03114012780912</v>
      </c>
      <c r="M148" s="63">
        <f t="shared" si="7"/>
        <v>411.21310603271661</v>
      </c>
      <c r="S148">
        <v>885</v>
      </c>
      <c r="V148">
        <v>1055</v>
      </c>
    </row>
    <row r="149" spans="1:22">
      <c r="A149" s="81" t="s">
        <v>392</v>
      </c>
      <c r="B149" s="518">
        <v>2091</v>
      </c>
      <c r="C149" s="77">
        <f t="shared" si="9"/>
        <v>809.52540873891667</v>
      </c>
      <c r="D149" s="11">
        <f t="shared" si="14"/>
        <v>582.85829429201999</v>
      </c>
      <c r="F149" s="19">
        <f t="shared" si="8"/>
        <v>170.00033583517251</v>
      </c>
      <c r="G149" s="395">
        <f t="shared" si="15"/>
        <v>412.85795845684748</v>
      </c>
      <c r="I149">
        <v>30</v>
      </c>
      <c r="J149" s="63">
        <f t="shared" si="16"/>
        <v>57.428693768527118</v>
      </c>
      <c r="K149" s="63">
        <f t="shared" si="18"/>
        <v>87.428693768527125</v>
      </c>
      <c r="L149" s="63">
        <f t="shared" si="17"/>
        <v>325.42926468832036</v>
      </c>
      <c r="M149" s="63">
        <f t="shared" si="7"/>
        <v>412.85795845684748</v>
      </c>
      <c r="S149">
        <v>889</v>
      </c>
      <c r="V149">
        <v>1059</v>
      </c>
    </row>
    <row r="150" spans="1:22">
      <c r="A150" s="81" t="s">
        <v>359</v>
      </c>
      <c r="B150" s="518">
        <v>2092</v>
      </c>
      <c r="C150" s="77">
        <f t="shared" si="9"/>
        <v>812.76351037387235</v>
      </c>
      <c r="D150" s="11">
        <f t="shared" si="14"/>
        <v>585.18972746918803</v>
      </c>
      <c r="F150" s="19">
        <f t="shared" si="8"/>
        <v>170.68033717851318</v>
      </c>
      <c r="G150" s="395">
        <f t="shared" si="15"/>
        <v>414.50939029067484</v>
      </c>
      <c r="I150">
        <v>30</v>
      </c>
      <c r="J150" s="63">
        <f t="shared" si="16"/>
        <v>57.676408543601227</v>
      </c>
      <c r="K150" s="63">
        <f t="shared" si="18"/>
        <v>87.676408543601227</v>
      </c>
      <c r="L150" s="63">
        <f t="shared" si="17"/>
        <v>326.83298174707363</v>
      </c>
      <c r="M150" s="63">
        <f t="shared" si="7"/>
        <v>414.50939029067484</v>
      </c>
      <c r="S150">
        <v>892</v>
      </c>
      <c r="V150">
        <v>1063</v>
      </c>
    </row>
    <row r="151" spans="1:22">
      <c r="A151" s="81" t="s">
        <v>360</v>
      </c>
      <c r="B151" s="518">
        <v>2093</v>
      </c>
      <c r="C151" s="77">
        <f t="shared" si="9"/>
        <v>816.01456441536789</v>
      </c>
      <c r="D151" s="11">
        <f t="shared" si="14"/>
        <v>587.53048637906488</v>
      </c>
      <c r="F151" s="19">
        <f t="shared" si="8"/>
        <v>171.36305852722725</v>
      </c>
      <c r="G151" s="395">
        <f t="shared" si="15"/>
        <v>416.1674278518376</v>
      </c>
      <c r="I151">
        <v>30</v>
      </c>
      <c r="J151" s="63">
        <f t="shared" si="16"/>
        <v>57.92511417777564</v>
      </c>
      <c r="K151" s="63">
        <f t="shared" si="18"/>
        <v>87.92511417777564</v>
      </c>
      <c r="L151" s="63">
        <f t="shared" si="17"/>
        <v>328.24231367406196</v>
      </c>
      <c r="M151" s="63">
        <f t="shared" si="7"/>
        <v>416.1674278518376</v>
      </c>
      <c r="S151">
        <v>896</v>
      </c>
      <c r="V151">
        <v>1067</v>
      </c>
    </row>
    <row r="152" spans="1:22">
      <c r="A152" s="81" t="s">
        <v>361</v>
      </c>
      <c r="B152" s="518">
        <v>2094</v>
      </c>
      <c r="C152" s="77">
        <f t="shared" si="9"/>
        <v>819.2786226730293</v>
      </c>
      <c r="D152" s="11">
        <f t="shared" si="14"/>
        <v>589.88060832458109</v>
      </c>
      <c r="F152" s="19">
        <f t="shared" si="8"/>
        <v>172.04851076133616</v>
      </c>
      <c r="G152" s="395">
        <f t="shared" si="15"/>
        <v>417.83209756324493</v>
      </c>
      <c r="I152">
        <v>30</v>
      </c>
      <c r="J152" s="63">
        <f t="shared" si="16"/>
        <v>58.174814634486737</v>
      </c>
      <c r="K152" s="63">
        <f t="shared" si="18"/>
        <v>88.174814634486737</v>
      </c>
      <c r="L152" s="63">
        <f t="shared" si="17"/>
        <v>329.65728292875821</v>
      </c>
      <c r="M152" s="63">
        <f t="shared" si="7"/>
        <v>417.83209756324493</v>
      </c>
      <c r="S152">
        <v>899</v>
      </c>
      <c r="V152">
        <v>1072</v>
      </c>
    </row>
    <row r="153" spans="1:22">
      <c r="A153" s="81" t="s">
        <v>362</v>
      </c>
      <c r="B153" s="518">
        <v>2095</v>
      </c>
      <c r="C153" s="77">
        <f t="shared" si="9"/>
        <v>822.55573716372146</v>
      </c>
      <c r="D153" s="11">
        <f t="shared" si="14"/>
        <v>592.24013075787946</v>
      </c>
      <c r="F153" s="19">
        <f t="shared" si="8"/>
        <v>172.7367048043815</v>
      </c>
      <c r="G153" s="395">
        <f t="shared" si="15"/>
        <v>419.50342595349798</v>
      </c>
      <c r="I153">
        <v>30</v>
      </c>
      <c r="J153" s="63">
        <f t="shared" si="16"/>
        <v>58.425513893024693</v>
      </c>
      <c r="K153" s="63">
        <f t="shared" si="18"/>
        <v>88.425513893024686</v>
      </c>
      <c r="L153" s="63">
        <f t="shared" si="17"/>
        <v>331.0779120604733</v>
      </c>
      <c r="M153" s="63">
        <f t="shared" si="7"/>
        <v>419.50342595349798</v>
      </c>
      <c r="S153">
        <v>903</v>
      </c>
      <c r="V153">
        <v>1076</v>
      </c>
    </row>
    <row r="154" spans="1:22">
      <c r="A154" s="81" t="s">
        <v>363</v>
      </c>
      <c r="B154" s="518">
        <v>2096</v>
      </c>
      <c r="C154" s="77">
        <f t="shared" si="9"/>
        <v>825.84596011237636</v>
      </c>
      <c r="D154" s="11">
        <f t="shared" si="14"/>
        <v>594.609091280911</v>
      </c>
      <c r="F154" s="19">
        <f t="shared" si="8"/>
        <v>173.42765162359902</v>
      </c>
      <c r="G154" s="395">
        <f t="shared" si="15"/>
        <v>421.18143965731201</v>
      </c>
      <c r="I154">
        <v>30</v>
      </c>
      <c r="J154" s="63">
        <f t="shared" si="16"/>
        <v>58.677215948596796</v>
      </c>
      <c r="K154" s="63">
        <f t="shared" si="18"/>
        <v>88.677215948596796</v>
      </c>
      <c r="L154" s="63">
        <f t="shared" si="17"/>
        <v>332.50422370871519</v>
      </c>
      <c r="M154" s="63">
        <f t="shared" si="7"/>
        <v>421.18143965731201</v>
      </c>
      <c r="S154">
        <v>907</v>
      </c>
      <c r="V154">
        <v>1080</v>
      </c>
    </row>
    <row r="155" spans="1:22">
      <c r="A155" s="81" t="s">
        <v>364</v>
      </c>
      <c r="B155" s="518">
        <v>2097</v>
      </c>
      <c r="C155" s="77">
        <f t="shared" si="9"/>
        <v>829.14934395282592</v>
      </c>
      <c r="D155" s="11">
        <f t="shared" si="14"/>
        <v>596.98752764603466</v>
      </c>
      <c r="F155" s="19">
        <f t="shared" si="8"/>
        <v>174.12136223009344</v>
      </c>
      <c r="G155" s="395">
        <f t="shared" si="15"/>
        <v>422.86616541594123</v>
      </c>
      <c r="I155">
        <v>30</v>
      </c>
      <c r="J155" s="63">
        <f t="shared" si="16"/>
        <v>58.929924812391178</v>
      </c>
      <c r="K155" s="63">
        <f t="shared" si="18"/>
        <v>88.929924812391178</v>
      </c>
      <c r="L155" s="63">
        <f t="shared" si="17"/>
        <v>333.93624060355</v>
      </c>
      <c r="M155" s="63">
        <f t="shared" si="7"/>
        <v>422.86616541594117</v>
      </c>
      <c r="S155">
        <v>910</v>
      </c>
      <c r="V155">
        <v>1084</v>
      </c>
    </row>
    <row r="156" spans="1:22">
      <c r="A156" s="81" t="s">
        <v>365</v>
      </c>
      <c r="B156" s="518">
        <v>2098</v>
      </c>
      <c r="C156" s="77">
        <f t="shared" si="9"/>
        <v>832.4659413286372</v>
      </c>
      <c r="D156" s="11">
        <f t="shared" si="14"/>
        <v>599.37547775661881</v>
      </c>
      <c r="F156" s="19">
        <f t="shared" si="8"/>
        <v>174.81784767901379</v>
      </c>
      <c r="G156" s="395">
        <f t="shared" si="15"/>
        <v>424.55763007760504</v>
      </c>
      <c r="I156">
        <v>30</v>
      </c>
      <c r="J156" s="63">
        <f t="shared" si="16"/>
        <v>59.18364451164075</v>
      </c>
      <c r="K156" s="63">
        <f t="shared" si="18"/>
        <v>89.18364451164075</v>
      </c>
      <c r="L156" s="63">
        <f t="shared" si="17"/>
        <v>335.37398556596429</v>
      </c>
      <c r="M156" s="63">
        <f t="shared" si="7"/>
        <v>424.55763007760504</v>
      </c>
      <c r="S156">
        <v>914</v>
      </c>
      <c r="V156">
        <v>1089</v>
      </c>
    </row>
    <row r="157" spans="1:22">
      <c r="A157" s="81" t="s">
        <v>366</v>
      </c>
      <c r="B157" s="518">
        <v>2099</v>
      </c>
      <c r="C157" s="77">
        <f t="shared" si="9"/>
        <v>835.7958050939518</v>
      </c>
      <c r="D157" s="11">
        <f t="shared" si="14"/>
        <v>601.77297966764525</v>
      </c>
      <c r="F157" s="19">
        <f t="shared" si="8"/>
        <v>175.51711906972986</v>
      </c>
      <c r="G157" s="395">
        <f t="shared" si="15"/>
        <v>426.25586059791539</v>
      </c>
      <c r="I157">
        <v>30</v>
      </c>
      <c r="J157" s="63">
        <f t="shared" si="16"/>
        <v>59.438379089687302</v>
      </c>
      <c r="K157" s="63">
        <f t="shared" si="18"/>
        <v>89.438379089687302</v>
      </c>
      <c r="L157" s="63">
        <f t="shared" si="17"/>
        <v>336.81748150822807</v>
      </c>
      <c r="M157" s="63">
        <f t="shared" si="7"/>
        <v>426.25586059791539</v>
      </c>
      <c r="S157">
        <v>918</v>
      </c>
      <c r="V157">
        <v>1093</v>
      </c>
    </row>
    <row r="158" spans="1:22">
      <c r="A158" s="81" t="s">
        <v>393</v>
      </c>
      <c r="B158" s="518">
        <v>2100</v>
      </c>
      <c r="C158" s="77">
        <f t="shared" si="9"/>
        <v>839.13898831432766</v>
      </c>
      <c r="D158" s="11">
        <f t="shared" si="14"/>
        <v>604.18007158631588</v>
      </c>
      <c r="F158" s="19">
        <f t="shared" si="8"/>
        <v>176.21918754600881</v>
      </c>
      <c r="G158" s="395">
        <f t="shared" si="15"/>
        <v>427.96088404030706</v>
      </c>
      <c r="I158">
        <v>30</v>
      </c>
      <c r="J158" s="63">
        <f t="shared" si="16"/>
        <v>59.694132606046054</v>
      </c>
      <c r="K158" s="63">
        <f t="shared" si="18"/>
        <v>89.694132606046054</v>
      </c>
      <c r="L158" s="63">
        <f t="shared" si="17"/>
        <v>338.26675143426098</v>
      </c>
      <c r="M158" s="63">
        <f t="shared" ref="M158:M175" si="19">I158+J158+L158</f>
        <v>427.96088404030706</v>
      </c>
      <c r="S158">
        <v>921</v>
      </c>
      <c r="V158">
        <v>1097</v>
      </c>
    </row>
    <row r="159" spans="1:22">
      <c r="A159" s="81" t="s">
        <v>394</v>
      </c>
      <c r="B159" s="518">
        <v>2101</v>
      </c>
      <c r="C159" s="77">
        <f t="shared" si="9"/>
        <v>842.49554426758493</v>
      </c>
      <c r="D159" s="11">
        <f t="shared" si="14"/>
        <v>606.59679187266113</v>
      </c>
      <c r="F159" s="19">
        <f t="shared" si="8"/>
        <v>176.92406429619282</v>
      </c>
      <c r="G159" s="395">
        <f t="shared" si="15"/>
        <v>429.67272757646833</v>
      </c>
      <c r="I159">
        <v>30</v>
      </c>
      <c r="J159" s="63">
        <f t="shared" si="16"/>
        <v>59.950909136470244</v>
      </c>
      <c r="K159" s="63">
        <f t="shared" si="18"/>
        <v>89.950909136470244</v>
      </c>
      <c r="L159" s="63">
        <f t="shared" si="17"/>
        <v>339.72181843999806</v>
      </c>
      <c r="M159" s="63">
        <f t="shared" si="19"/>
        <v>429.67272757646833</v>
      </c>
      <c r="S159">
        <v>925</v>
      </c>
      <c r="V159">
        <v>1102</v>
      </c>
    </row>
    <row r="160" spans="1:22">
      <c r="A160" s="81" t="s">
        <v>367</v>
      </c>
      <c r="B160" s="518">
        <v>2102</v>
      </c>
      <c r="C160" s="77">
        <f t="shared" si="9"/>
        <v>845.8655264446553</v>
      </c>
      <c r="D160" s="11">
        <f t="shared" si="14"/>
        <v>609.02317904015183</v>
      </c>
      <c r="F160" s="19">
        <f t="shared" si="8"/>
        <v>177.6317605533776</v>
      </c>
      <c r="G160" s="395">
        <f t="shared" si="15"/>
        <v>431.39141848677423</v>
      </c>
      <c r="I160">
        <v>30</v>
      </c>
      <c r="J160" s="63">
        <f t="shared" si="16"/>
        <v>60.208712773016131</v>
      </c>
      <c r="K160" s="63">
        <f t="shared" si="18"/>
        <v>90.208712773016131</v>
      </c>
      <c r="L160" s="63">
        <f t="shared" si="17"/>
        <v>341.18270571375808</v>
      </c>
      <c r="M160" s="63">
        <f t="shared" si="19"/>
        <v>431.39141848677423</v>
      </c>
      <c r="S160">
        <v>929</v>
      </c>
      <c r="V160">
        <v>1106</v>
      </c>
    </row>
    <row r="161" spans="1:22">
      <c r="A161" s="81" t="s">
        <v>368</v>
      </c>
      <c r="B161" s="518">
        <v>2103</v>
      </c>
      <c r="C161" s="77">
        <f t="shared" si="9"/>
        <v>849.24898855043398</v>
      </c>
      <c r="D161" s="11">
        <f t="shared" si="14"/>
        <v>611.45927175631243</v>
      </c>
      <c r="F161" s="19">
        <f t="shared" si="8"/>
        <v>178.34228759559113</v>
      </c>
      <c r="G161" s="395">
        <f t="shared" si="15"/>
        <v>433.1169841607213</v>
      </c>
      <c r="I161">
        <v>30</v>
      </c>
      <c r="J161" s="63">
        <f t="shared" si="16"/>
        <v>60.467547624108192</v>
      </c>
      <c r="K161" s="63">
        <f t="shared" si="18"/>
        <v>90.467547624108192</v>
      </c>
      <c r="L161" s="63">
        <f t="shared" si="17"/>
        <v>342.64943653661311</v>
      </c>
      <c r="M161" s="63">
        <f t="shared" si="19"/>
        <v>433.1169841607213</v>
      </c>
      <c r="S161">
        <v>932</v>
      </c>
      <c r="V161">
        <v>1111</v>
      </c>
    </row>
    <row r="162" spans="1:22">
      <c r="A162" s="81" t="s">
        <v>369</v>
      </c>
      <c r="B162" s="518">
        <v>2104</v>
      </c>
      <c r="C162" s="77">
        <f t="shared" si="9"/>
        <v>852.64598450463575</v>
      </c>
      <c r="D162" s="11">
        <f t="shared" si="14"/>
        <v>613.90510884333776</v>
      </c>
      <c r="F162" s="19">
        <f t="shared" si="8"/>
        <v>179.05565674597349</v>
      </c>
      <c r="G162" s="395">
        <f t="shared" si="15"/>
        <v>434.84945209736429</v>
      </c>
      <c r="I162">
        <v>30</v>
      </c>
      <c r="J162" s="63">
        <f t="shared" si="16"/>
        <v>60.727417814604642</v>
      </c>
      <c r="K162" s="63">
        <f t="shared" si="18"/>
        <v>90.727417814604649</v>
      </c>
      <c r="L162" s="63">
        <f t="shared" si="17"/>
        <v>344.12203428275961</v>
      </c>
      <c r="M162" s="63">
        <f t="shared" si="19"/>
        <v>434.84945209736429</v>
      </c>
      <c r="S162">
        <v>936</v>
      </c>
      <c r="V162">
        <v>1115</v>
      </c>
    </row>
    <row r="163" spans="1:22">
      <c r="A163" s="81" t="s">
        <v>370</v>
      </c>
      <c r="B163" s="518">
        <v>2105</v>
      </c>
      <c r="C163" s="77">
        <f t="shared" si="9"/>
        <v>856.05656844265434</v>
      </c>
      <c r="D163" s="11">
        <f t="shared" si="14"/>
        <v>616.36072927871112</v>
      </c>
      <c r="F163" s="19">
        <f t="shared" si="8"/>
        <v>179.77187937295741</v>
      </c>
      <c r="G163" s="395">
        <f t="shared" si="15"/>
        <v>436.5888499057537</v>
      </c>
      <c r="I163">
        <v>30</v>
      </c>
      <c r="J163" s="63">
        <f t="shared" si="16"/>
        <v>60.988327485863053</v>
      </c>
      <c r="K163" s="63">
        <f t="shared" si="18"/>
        <v>90.988327485863053</v>
      </c>
      <c r="L163" s="63">
        <f t="shared" si="17"/>
        <v>345.60052241989064</v>
      </c>
      <c r="M163" s="63">
        <f t="shared" si="19"/>
        <v>436.5888499057537</v>
      </c>
      <c r="S163">
        <v>940</v>
      </c>
      <c r="V163">
        <v>1120</v>
      </c>
    </row>
    <row r="164" spans="1:22">
      <c r="A164" s="81" t="s">
        <v>371</v>
      </c>
      <c r="B164" s="518">
        <v>2106</v>
      </c>
      <c r="C164" s="77">
        <f t="shared" si="9"/>
        <v>859.48079471642495</v>
      </c>
      <c r="D164" s="11">
        <f t="shared" si="14"/>
        <v>618.82617219582596</v>
      </c>
      <c r="F164" s="19">
        <f t="shared" si="8"/>
        <v>180.49096689044924</v>
      </c>
      <c r="G164" s="395">
        <f t="shared" si="15"/>
        <v>438.33520530537669</v>
      </c>
      <c r="I164">
        <v>30</v>
      </c>
      <c r="J164" s="63">
        <f t="shared" si="16"/>
        <v>61.250280795806503</v>
      </c>
      <c r="K164" s="63">
        <f t="shared" si="18"/>
        <v>91.250280795806503</v>
      </c>
      <c r="L164" s="63">
        <f t="shared" si="17"/>
        <v>347.08492450957016</v>
      </c>
      <c r="M164" s="63">
        <f t="shared" si="19"/>
        <v>438.33520530537669</v>
      </c>
      <c r="S164">
        <v>944</v>
      </c>
      <c r="V164">
        <v>1124</v>
      </c>
    </row>
    <row r="165" spans="1:22">
      <c r="A165" s="81" t="s">
        <v>372</v>
      </c>
      <c r="B165" s="518">
        <v>2107</v>
      </c>
      <c r="C165" s="77">
        <f t="shared" si="9"/>
        <v>862.91871789529068</v>
      </c>
      <c r="D165" s="11">
        <f t="shared" si="14"/>
        <v>621.30147688460931</v>
      </c>
      <c r="F165" s="19">
        <f t="shared" ref="F165:F175" si="20">C165*0.21</f>
        <v>181.21293075801103</v>
      </c>
      <c r="G165" s="395">
        <f t="shared" si="15"/>
        <v>440.08854612659832</v>
      </c>
      <c r="I165">
        <v>30</v>
      </c>
      <c r="J165" s="63">
        <f t="shared" si="16"/>
        <v>61.513281918989748</v>
      </c>
      <c r="K165" s="63">
        <f t="shared" si="18"/>
        <v>91.513281918989748</v>
      </c>
      <c r="L165" s="63">
        <f t="shared" si="17"/>
        <v>348.57526420760854</v>
      </c>
      <c r="M165" s="63">
        <f t="shared" si="19"/>
        <v>440.08854612659832</v>
      </c>
      <c r="S165">
        <v>947</v>
      </c>
      <c r="V165">
        <v>1129</v>
      </c>
    </row>
    <row r="166" spans="1:22">
      <c r="A166" s="81" t="s">
        <v>373</v>
      </c>
      <c r="B166" s="518">
        <v>2108</v>
      </c>
      <c r="C166" s="77">
        <f t="shared" ref="C166:C175" si="21">C165*1.004</f>
        <v>866.37039276687187</v>
      </c>
      <c r="D166" s="11">
        <f t="shared" si="14"/>
        <v>623.78668279214776</v>
      </c>
      <c r="F166" s="19">
        <f t="shared" si="20"/>
        <v>181.93778248104309</v>
      </c>
      <c r="G166" s="395">
        <f t="shared" si="15"/>
        <v>441.84890031110467</v>
      </c>
      <c r="I166">
        <v>30</v>
      </c>
      <c r="J166" s="63">
        <f t="shared" si="16"/>
        <v>61.777335046665698</v>
      </c>
      <c r="K166" s="63">
        <f t="shared" si="18"/>
        <v>91.777335046665698</v>
      </c>
      <c r="L166" s="63">
        <f t="shared" si="17"/>
        <v>350.07156526443896</v>
      </c>
      <c r="M166" s="63">
        <f t="shared" si="19"/>
        <v>441.84890031110467</v>
      </c>
      <c r="S166">
        <v>951</v>
      </c>
      <c r="V166">
        <v>1133</v>
      </c>
    </row>
    <row r="167" spans="1:22">
      <c r="A167" s="81" t="s">
        <v>374</v>
      </c>
      <c r="B167" s="518">
        <v>2109</v>
      </c>
      <c r="C167" s="77">
        <f t="shared" si="21"/>
        <v>869.83587433793934</v>
      </c>
      <c r="D167" s="11">
        <f t="shared" si="14"/>
        <v>626.28182952331633</v>
      </c>
      <c r="F167" s="19">
        <f t="shared" si="20"/>
        <v>182.66553361096726</v>
      </c>
      <c r="G167" s="395">
        <f t="shared" si="15"/>
        <v>443.61629591234907</v>
      </c>
      <c r="I167">
        <v>30</v>
      </c>
      <c r="J167" s="63">
        <f t="shared" si="16"/>
        <v>62.04244438685236</v>
      </c>
      <c r="K167" s="63">
        <f t="shared" si="18"/>
        <v>92.042444386852367</v>
      </c>
      <c r="L167" s="63">
        <f t="shared" si="17"/>
        <v>351.57385152549671</v>
      </c>
      <c r="M167" s="63">
        <f t="shared" si="19"/>
        <v>443.61629591234907</v>
      </c>
      <c r="S167">
        <v>955</v>
      </c>
      <c r="V167">
        <v>1138</v>
      </c>
    </row>
    <row r="168" spans="1:22">
      <c r="A168" s="81" t="s">
        <v>395</v>
      </c>
      <c r="B168" s="518">
        <v>2110</v>
      </c>
      <c r="C168" s="77">
        <f t="shared" si="21"/>
        <v>873.31521783529115</v>
      </c>
      <c r="D168" s="11">
        <f t="shared" si="14"/>
        <v>628.78695684140962</v>
      </c>
      <c r="F168" s="19">
        <f t="shared" si="20"/>
        <v>183.39619574541115</v>
      </c>
      <c r="G168" s="395">
        <f t="shared" si="15"/>
        <v>445.39076109599847</v>
      </c>
      <c r="I168">
        <v>30</v>
      </c>
      <c r="J168" s="63">
        <f t="shared" si="16"/>
        <v>62.308614164399771</v>
      </c>
      <c r="K168" s="63">
        <f t="shared" si="18"/>
        <v>92.308614164399771</v>
      </c>
      <c r="L168" s="63">
        <f t="shared" si="17"/>
        <v>353.08214693159869</v>
      </c>
      <c r="M168" s="63">
        <f t="shared" si="19"/>
        <v>445.39076109599847</v>
      </c>
      <c r="S168">
        <v>955</v>
      </c>
      <c r="V168">
        <v>1139</v>
      </c>
    </row>
    <row r="169" spans="1:22">
      <c r="A169" s="81" t="s">
        <v>396</v>
      </c>
      <c r="B169" s="518">
        <v>2111</v>
      </c>
      <c r="C169" s="77">
        <f t="shared" si="21"/>
        <v>876.80847870663229</v>
      </c>
      <c r="D169" s="11">
        <f t="shared" si="14"/>
        <v>631.3021046687752</v>
      </c>
      <c r="F169" s="19">
        <f t="shared" si="20"/>
        <v>184.12978052839279</v>
      </c>
      <c r="G169" s="395">
        <f t="shared" si="15"/>
        <v>447.17232414038244</v>
      </c>
      <c r="I169">
        <v>30</v>
      </c>
      <c r="J169" s="63">
        <f t="shared" si="16"/>
        <v>62.575848621057361</v>
      </c>
      <c r="K169" s="63">
        <f t="shared" si="18"/>
        <v>92.575848621057361</v>
      </c>
      <c r="L169" s="63">
        <f t="shared" si="17"/>
        <v>354.59647551932505</v>
      </c>
      <c r="M169" s="63">
        <f t="shared" si="19"/>
        <v>447.17232414038244</v>
      </c>
      <c r="S169">
        <v>963</v>
      </c>
      <c r="V169">
        <v>1147</v>
      </c>
    </row>
    <row r="170" spans="1:22">
      <c r="A170" s="81" t="s">
        <v>375</v>
      </c>
      <c r="B170" s="518">
        <v>2112</v>
      </c>
      <c r="C170" s="77">
        <f t="shared" si="21"/>
        <v>880.31571262145883</v>
      </c>
      <c r="D170" s="11">
        <f t="shared" si="14"/>
        <v>633.82731308745031</v>
      </c>
      <c r="F170" s="19">
        <f t="shared" si="20"/>
        <v>184.86629965050633</v>
      </c>
      <c r="G170" s="395">
        <f t="shared" si="15"/>
        <v>448.96101343694397</v>
      </c>
      <c r="I170">
        <v>30</v>
      </c>
      <c r="J170" s="63">
        <f t="shared" si="16"/>
        <v>62.844152015541596</v>
      </c>
      <c r="K170" s="63">
        <f t="shared" si="18"/>
        <v>92.844152015541596</v>
      </c>
      <c r="L170" s="63">
        <f t="shared" si="17"/>
        <v>356.11686142140235</v>
      </c>
      <c r="M170" s="63">
        <f t="shared" si="19"/>
        <v>448.96101343694397</v>
      </c>
      <c r="S170">
        <v>967</v>
      </c>
      <c r="V170">
        <v>1151</v>
      </c>
    </row>
    <row r="171" spans="1:22">
      <c r="A171" s="81" t="s">
        <v>376</v>
      </c>
      <c r="B171" s="518">
        <v>2113</v>
      </c>
      <c r="C171" s="77">
        <f t="shared" si="21"/>
        <v>883.8369754719447</v>
      </c>
      <c r="D171" s="11">
        <f t="shared" si="14"/>
        <v>636.36262233980017</v>
      </c>
      <c r="F171" s="19">
        <f t="shared" si="20"/>
        <v>185.60576484910837</v>
      </c>
      <c r="G171" s="395">
        <f t="shared" si="15"/>
        <v>450.7568574906918</v>
      </c>
      <c r="I171">
        <v>30</v>
      </c>
      <c r="J171" s="63">
        <f t="shared" si="16"/>
        <v>63.11352862360377</v>
      </c>
      <c r="K171" s="63">
        <f t="shared" si="18"/>
        <v>93.11352862360377</v>
      </c>
      <c r="L171" s="63">
        <f t="shared" si="17"/>
        <v>357.64332886708803</v>
      </c>
      <c r="M171" s="63">
        <f t="shared" si="19"/>
        <v>450.7568574906918</v>
      </c>
      <c r="S171">
        <v>970</v>
      </c>
      <c r="V171">
        <v>1156</v>
      </c>
    </row>
    <row r="172" spans="1:22">
      <c r="A172" s="81" t="s">
        <v>377</v>
      </c>
      <c r="B172" s="518">
        <v>2114</v>
      </c>
      <c r="C172" s="77">
        <f t="shared" si="21"/>
        <v>887.3723233738325</v>
      </c>
      <c r="D172" s="11">
        <f t="shared" si="14"/>
        <v>638.90807282915932</v>
      </c>
      <c r="F172" s="19">
        <f t="shared" si="20"/>
        <v>186.34818790850483</v>
      </c>
      <c r="G172" s="395">
        <f t="shared" si="15"/>
        <v>452.5598849206545</v>
      </c>
      <c r="I172">
        <v>30</v>
      </c>
      <c r="J172" s="63">
        <f t="shared" si="16"/>
        <v>63.383982738098169</v>
      </c>
      <c r="K172" s="63">
        <f t="shared" si="18"/>
        <v>93.383982738098169</v>
      </c>
      <c r="L172" s="63">
        <f t="shared" si="17"/>
        <v>359.17590218255629</v>
      </c>
      <c r="M172" s="63">
        <f t="shared" si="19"/>
        <v>452.55988492065444</v>
      </c>
      <c r="N172" s="71" t="s">
        <v>93</v>
      </c>
      <c r="S172">
        <v>974</v>
      </c>
      <c r="V172">
        <v>1161</v>
      </c>
    </row>
    <row r="173" spans="1:22">
      <c r="A173" s="81" t="s">
        <v>378</v>
      </c>
      <c r="B173" s="518">
        <v>2115</v>
      </c>
      <c r="C173" s="77">
        <f t="shared" si="21"/>
        <v>890.9218126673278</v>
      </c>
      <c r="D173" s="11">
        <f t="shared" si="14"/>
        <v>641.46370512047599</v>
      </c>
      <c r="F173" s="19">
        <f t="shared" si="20"/>
        <v>187.09358066013883</v>
      </c>
      <c r="G173" s="395">
        <f t="shared" si="15"/>
        <v>454.37012446033714</v>
      </c>
      <c r="I173">
        <v>30</v>
      </c>
      <c r="J173" s="63">
        <f t="shared" si="16"/>
        <v>63.655518669050565</v>
      </c>
      <c r="K173" s="63">
        <f t="shared" si="18"/>
        <v>93.655518669050565</v>
      </c>
      <c r="L173" s="63">
        <f t="shared" si="17"/>
        <v>360.71460579128654</v>
      </c>
      <c r="M173" s="63">
        <f t="shared" si="19"/>
        <v>454.37012446033714</v>
      </c>
      <c r="N173" s="72" t="s">
        <v>80</v>
      </c>
      <c r="S173">
        <v>978</v>
      </c>
      <c r="V173">
        <v>1165</v>
      </c>
    </row>
    <row r="174" spans="1:22">
      <c r="A174" s="81" t="s">
        <v>379</v>
      </c>
      <c r="B174" s="518">
        <v>2116</v>
      </c>
      <c r="C174" s="77">
        <f t="shared" si="21"/>
        <v>894.48549991799712</v>
      </c>
      <c r="D174" s="11">
        <f t="shared" si="14"/>
        <v>644.02955994095794</v>
      </c>
      <c r="F174" s="19">
        <f t="shared" si="20"/>
        <v>187.84195498277938</v>
      </c>
      <c r="G174" s="395">
        <f t="shared" si="15"/>
        <v>456.18760495817855</v>
      </c>
      <c r="I174">
        <v>30</v>
      </c>
      <c r="J174" s="63">
        <f t="shared" si="16"/>
        <v>63.928140743726779</v>
      </c>
      <c r="K174" s="63">
        <f t="shared" si="18"/>
        <v>93.928140743726772</v>
      </c>
      <c r="L174" s="63">
        <f t="shared" si="17"/>
        <v>362.25946421445178</v>
      </c>
      <c r="M174" s="63">
        <f t="shared" si="19"/>
        <v>456.18760495817855</v>
      </c>
      <c r="N174" s="72" t="s">
        <v>95</v>
      </c>
      <c r="S174">
        <v>982</v>
      </c>
      <c r="V174">
        <v>1170</v>
      </c>
    </row>
    <row r="175" spans="1:22" ht="16" thickBot="1">
      <c r="A175" s="81" t="s">
        <v>380</v>
      </c>
      <c r="B175" s="518">
        <v>2117</v>
      </c>
      <c r="C175" s="393">
        <f t="shared" si="21"/>
        <v>898.06344191766914</v>
      </c>
      <c r="D175" s="34">
        <f t="shared" ref="D175" si="22">C175*0.72</f>
        <v>646.60567818072172</v>
      </c>
      <c r="F175" s="187">
        <f t="shared" si="20"/>
        <v>188.5933228027105</v>
      </c>
      <c r="G175" s="397">
        <f t="shared" ref="G175" si="23">D175-F175</f>
        <v>458.01235537801119</v>
      </c>
      <c r="I175" s="30">
        <v>30</v>
      </c>
      <c r="J175" s="65">
        <f t="shared" ref="J175" si="24">(G175-I175)*0.15</f>
        <v>64.201853306701679</v>
      </c>
      <c r="K175" s="65">
        <f t="shared" si="18"/>
        <v>94.201853306701679</v>
      </c>
      <c r="L175" s="65">
        <f t="shared" si="17"/>
        <v>363.81050207130949</v>
      </c>
      <c r="M175" s="65">
        <f t="shared" si="19"/>
        <v>458.01235537801119</v>
      </c>
      <c r="N175" s="73" t="s">
        <v>74</v>
      </c>
      <c r="S175" s="30">
        <v>986</v>
      </c>
      <c r="V175" s="30">
        <v>1175</v>
      </c>
    </row>
    <row r="176" spans="1:22" ht="16" thickTop="1">
      <c r="C176" s="394">
        <f>SUM(C79:C175)</f>
        <v>70766.023921334752</v>
      </c>
      <c r="D176" s="12">
        <f>SUM(D79:D175)</f>
        <v>50951.537223361018</v>
      </c>
      <c r="F176" s="398">
        <f t="shared" ref="F176:G176" si="25">SUM(F79:F175)</f>
        <v>14860.865023480295</v>
      </c>
      <c r="G176" s="399">
        <f t="shared" si="25"/>
        <v>36090.672199880726</v>
      </c>
      <c r="I176" s="372">
        <f>SUM(I79:I175)</f>
        <v>2910</v>
      </c>
      <c r="J176" s="372">
        <f>SUM(J79:J175)</f>
        <v>4977.1008299821078</v>
      </c>
      <c r="K176" s="374">
        <f>SUM(K79:K175)</f>
        <v>7887.1008299821115</v>
      </c>
      <c r="L176" s="373">
        <f>SUM(L79:L175)</f>
        <v>28203.571369898611</v>
      </c>
      <c r="N176" s="66">
        <f>SUM(L79:L175)/1000</f>
        <v>28.203571369898611</v>
      </c>
      <c r="S176" s="373">
        <f>SUM(S79:S175)</f>
        <v>77694</v>
      </c>
      <c r="V176" s="10">
        <v>92550</v>
      </c>
    </row>
    <row r="177" spans="1:11">
      <c r="I177" s="32"/>
      <c r="J177" s="32"/>
      <c r="K177" s="32"/>
    </row>
    <row r="179" spans="1:11">
      <c r="B179" s="74" t="s">
        <v>76</v>
      </c>
    </row>
    <row r="182" spans="1:11">
      <c r="A182" t="s">
        <v>553</v>
      </c>
    </row>
    <row r="183" spans="1:11">
      <c r="A183" s="81" t="s">
        <v>519</v>
      </c>
      <c r="B183" s="76">
        <v>2118</v>
      </c>
      <c r="C183" s="401">
        <f>C175*1.004</f>
        <v>901.65569568533977</v>
      </c>
    </row>
    <row r="184" spans="1:11">
      <c r="A184" s="81" t="s">
        <v>520</v>
      </c>
      <c r="B184" s="76">
        <v>2119</v>
      </c>
      <c r="C184" s="401">
        <f>C183*1.004</f>
        <v>905.26231846808116</v>
      </c>
    </row>
    <row r="185" spans="1:11">
      <c r="A185" s="81" t="s">
        <v>533</v>
      </c>
      <c r="B185" s="76">
        <v>2120</v>
      </c>
      <c r="C185" s="401">
        <f t="shared" ref="C185:C197" si="26">C184*1.004</f>
        <v>908.88336774195352</v>
      </c>
    </row>
    <row r="186" spans="1:11">
      <c r="A186" s="81" t="s">
        <v>521</v>
      </c>
      <c r="B186" s="76">
        <v>2121</v>
      </c>
      <c r="C186" s="401">
        <f t="shared" si="26"/>
        <v>912.51890121292138</v>
      </c>
    </row>
    <row r="187" spans="1:11">
      <c r="A187" s="81" t="s">
        <v>522</v>
      </c>
      <c r="B187" s="76">
        <v>2122</v>
      </c>
      <c r="C187" s="401">
        <f t="shared" si="26"/>
        <v>916.16897681777311</v>
      </c>
    </row>
    <row r="188" spans="1:11">
      <c r="A188" s="81" t="s">
        <v>523</v>
      </c>
      <c r="B188" s="76">
        <v>2123</v>
      </c>
      <c r="C188" s="401">
        <f t="shared" si="26"/>
        <v>919.8336527250442</v>
      </c>
    </row>
    <row r="189" spans="1:11">
      <c r="A189" s="81" t="s">
        <v>524</v>
      </c>
      <c r="B189" s="76">
        <v>2124</v>
      </c>
      <c r="C189" s="401">
        <f t="shared" si="26"/>
        <v>923.51298733594433</v>
      </c>
    </row>
    <row r="190" spans="1:11">
      <c r="A190" s="81" t="s">
        <v>525</v>
      </c>
      <c r="B190" s="76">
        <v>2125</v>
      </c>
      <c r="C190" s="401">
        <f t="shared" si="26"/>
        <v>927.20703928528815</v>
      </c>
    </row>
    <row r="191" spans="1:11">
      <c r="A191" s="81" t="s">
        <v>526</v>
      </c>
      <c r="B191" s="76">
        <v>2126</v>
      </c>
      <c r="C191" s="401">
        <f t="shared" si="26"/>
        <v>930.91586744242932</v>
      </c>
    </row>
    <row r="192" spans="1:11">
      <c r="A192" s="81" t="s">
        <v>527</v>
      </c>
      <c r="B192" s="76">
        <v>2127</v>
      </c>
      <c r="C192" s="401">
        <f t="shared" si="26"/>
        <v>934.63953091219901</v>
      </c>
    </row>
    <row r="193" spans="1:3">
      <c r="A193" s="81" t="s">
        <v>528</v>
      </c>
      <c r="B193" s="76">
        <v>2128</v>
      </c>
      <c r="C193" s="401">
        <f t="shared" si="26"/>
        <v>938.37808903584778</v>
      </c>
    </row>
    <row r="194" spans="1:3">
      <c r="A194" s="81" t="s">
        <v>529</v>
      </c>
      <c r="B194" s="76">
        <v>2129</v>
      </c>
      <c r="C194" s="401">
        <f t="shared" si="26"/>
        <v>942.13160139199113</v>
      </c>
    </row>
    <row r="195" spans="1:3">
      <c r="A195" s="81" t="s">
        <v>530</v>
      </c>
      <c r="B195" s="76">
        <v>2130</v>
      </c>
      <c r="C195" s="401">
        <f t="shared" si="26"/>
        <v>945.90012779755909</v>
      </c>
    </row>
    <row r="196" spans="1:3">
      <c r="A196" s="81" t="s">
        <v>531</v>
      </c>
      <c r="B196" s="76">
        <v>2131</v>
      </c>
      <c r="C196" s="401">
        <f t="shared" si="26"/>
        <v>949.68372830874932</v>
      </c>
    </row>
    <row r="197" spans="1:3">
      <c r="A197" s="407" t="s">
        <v>532</v>
      </c>
      <c r="B197" s="7">
        <v>2132</v>
      </c>
      <c r="C197" s="411">
        <f t="shared" si="26"/>
        <v>953.48246322198429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3366FF"/>
  </sheetPr>
  <dimension ref="A1:E80"/>
  <sheetViews>
    <sheetView workbookViewId="0">
      <selection activeCell="E14" sqref="E14"/>
    </sheetView>
  </sheetViews>
  <sheetFormatPr baseColWidth="10" defaultRowHeight="15" x14ac:dyDescent="0"/>
  <cols>
    <col min="1" max="1" width="52.83203125" customWidth="1"/>
    <col min="2" max="2" width="13.6640625" customWidth="1"/>
    <col min="3" max="3" width="15.1640625" customWidth="1"/>
  </cols>
  <sheetData>
    <row r="1" spans="1:3" ht="20">
      <c r="A1" s="605" t="s">
        <v>653</v>
      </c>
    </row>
    <row r="11" spans="1:3">
      <c r="A11" t="s">
        <v>654</v>
      </c>
    </row>
    <row r="13" spans="1:3" ht="21" thickBot="1">
      <c r="A13" s="605" t="s">
        <v>665</v>
      </c>
    </row>
    <row r="14" spans="1:3" ht="21" customHeight="1">
      <c r="A14" s="615"/>
      <c r="B14" s="616"/>
      <c r="C14" s="633" t="s">
        <v>61</v>
      </c>
    </row>
    <row r="15" spans="1:3" ht="21" customHeight="1">
      <c r="A15" s="617" t="s">
        <v>661</v>
      </c>
      <c r="B15" s="618"/>
      <c r="C15" s="619" t="s">
        <v>62</v>
      </c>
    </row>
    <row r="16" spans="1:3" ht="21" customHeight="1">
      <c r="A16" s="620" t="s">
        <v>479</v>
      </c>
      <c r="B16" s="621"/>
      <c r="C16" s="648" t="s">
        <v>74</v>
      </c>
    </row>
    <row r="17" spans="1:5" ht="21" customHeight="1">
      <c r="A17" s="610" t="s">
        <v>642</v>
      </c>
      <c r="B17" s="612"/>
      <c r="C17" s="623">
        <v>5.641</v>
      </c>
    </row>
    <row r="18" spans="1:5" ht="21" customHeight="1">
      <c r="A18" s="611" t="s">
        <v>643</v>
      </c>
      <c r="B18" s="612"/>
      <c r="C18" s="624">
        <v>6.4880000000000004</v>
      </c>
    </row>
    <row r="19" spans="1:5" ht="21" customHeight="1">
      <c r="A19" s="611" t="s">
        <v>644</v>
      </c>
      <c r="B19" s="612"/>
      <c r="C19" s="624">
        <v>7.6189999999999998</v>
      </c>
    </row>
    <row r="20" spans="1:5" ht="21" customHeight="1">
      <c r="A20" s="611" t="s">
        <v>645</v>
      </c>
      <c r="B20" s="612"/>
      <c r="C20" s="624">
        <v>8.1929999999999996</v>
      </c>
    </row>
    <row r="21" spans="1:5" ht="21" customHeight="1" thickBot="1">
      <c r="A21" s="613" t="s">
        <v>646</v>
      </c>
      <c r="B21" s="614"/>
      <c r="C21" s="625">
        <v>8.6050000000000004</v>
      </c>
    </row>
    <row r="23" spans="1:5" ht="20">
      <c r="A23" s="605" t="s">
        <v>663</v>
      </c>
    </row>
    <row r="24" spans="1:5" ht="21" thickBot="1">
      <c r="A24" s="605" t="s">
        <v>668</v>
      </c>
    </row>
    <row r="25" spans="1:5" ht="22" customHeight="1">
      <c r="A25" s="564"/>
      <c r="B25" s="632" t="s">
        <v>657</v>
      </c>
      <c r="C25" s="633" t="s">
        <v>77</v>
      </c>
    </row>
    <row r="26" spans="1:5" ht="22" customHeight="1">
      <c r="A26" s="644" t="s">
        <v>662</v>
      </c>
      <c r="B26" s="646" t="s">
        <v>29</v>
      </c>
      <c r="C26" s="647" t="s">
        <v>74</v>
      </c>
    </row>
    <row r="27" spans="1:5" ht="22" customHeight="1">
      <c r="A27" s="607" t="s">
        <v>655</v>
      </c>
      <c r="B27" s="626">
        <f>3150*0.03</f>
        <v>94.5</v>
      </c>
      <c r="C27" s="623">
        <f t="shared" ref="C27:C32" si="0">B27*15/1000</f>
        <v>1.4175</v>
      </c>
    </row>
    <row r="28" spans="1:5" ht="22" customHeight="1">
      <c r="A28" s="607" t="s">
        <v>669</v>
      </c>
      <c r="B28" s="627">
        <v>164</v>
      </c>
      <c r="C28" s="623">
        <f t="shared" si="0"/>
        <v>2.46</v>
      </c>
      <c r="E28" t="s">
        <v>672</v>
      </c>
    </row>
    <row r="29" spans="1:5" ht="22" customHeight="1">
      <c r="A29" s="607" t="s">
        <v>670</v>
      </c>
      <c r="B29" s="626">
        <f>-B28*0.1</f>
        <v>-16.400000000000002</v>
      </c>
      <c r="C29" s="623">
        <f t="shared" si="0"/>
        <v>-0.24600000000000002</v>
      </c>
      <c r="E29" t="s">
        <v>671</v>
      </c>
    </row>
    <row r="30" spans="1:5" ht="22" customHeight="1">
      <c r="A30" s="607" t="s">
        <v>667</v>
      </c>
      <c r="B30" s="626">
        <v>-12</v>
      </c>
      <c r="C30" s="623">
        <f t="shared" si="0"/>
        <v>-0.18</v>
      </c>
    </row>
    <row r="31" spans="1:5" ht="22" customHeight="1">
      <c r="A31" s="607" t="s">
        <v>656</v>
      </c>
      <c r="B31" s="626">
        <f>1300*0.015</f>
        <v>19.5</v>
      </c>
      <c r="C31" s="623">
        <f t="shared" si="0"/>
        <v>0.29249999999999998</v>
      </c>
    </row>
    <row r="32" spans="1:5" ht="22" customHeight="1" thickBot="1">
      <c r="A32" s="608" t="s">
        <v>666</v>
      </c>
      <c r="B32" s="628">
        <v>50</v>
      </c>
      <c r="C32" s="630">
        <f t="shared" si="0"/>
        <v>0.75</v>
      </c>
    </row>
    <row r="33" spans="1:3" ht="22" customHeight="1" thickTop="1" thickBot="1">
      <c r="A33" s="609" t="s">
        <v>26</v>
      </c>
      <c r="B33" s="629">
        <f>SUM(B27:B32)</f>
        <v>299.60000000000002</v>
      </c>
      <c r="C33" s="631">
        <f>SUM(C27:C32)</f>
        <v>4.4939999999999998</v>
      </c>
    </row>
    <row r="34" spans="1:3" ht="22" customHeight="1">
      <c r="B34" s="634"/>
      <c r="C34" s="634"/>
    </row>
    <row r="35" spans="1:3" ht="22" customHeight="1" thickBot="1">
      <c r="A35" s="605" t="s">
        <v>664</v>
      </c>
      <c r="B35" s="634"/>
      <c r="C35" s="634"/>
    </row>
    <row r="36" spans="1:3" ht="22" customHeight="1">
      <c r="A36" s="645"/>
      <c r="B36" s="637"/>
      <c r="C36" s="638"/>
    </row>
    <row r="37" spans="1:3" ht="22" customHeight="1">
      <c r="A37" s="617" t="s">
        <v>16</v>
      </c>
      <c r="B37" s="635"/>
      <c r="C37" s="619" t="s">
        <v>77</v>
      </c>
    </row>
    <row r="38" spans="1:3" ht="22" customHeight="1">
      <c r="A38" s="620" t="s">
        <v>479</v>
      </c>
      <c r="B38" s="641"/>
      <c r="C38" s="622" t="s">
        <v>658</v>
      </c>
    </row>
    <row r="39" spans="1:3" ht="22" customHeight="1">
      <c r="A39" s="610" t="s">
        <v>659</v>
      </c>
      <c r="B39" s="636"/>
      <c r="C39" s="642">
        <f>C17-C33</f>
        <v>1.1470000000000002</v>
      </c>
    </row>
    <row r="40" spans="1:3" ht="22" customHeight="1" thickBot="1">
      <c r="A40" s="639" t="s">
        <v>660</v>
      </c>
      <c r="B40" s="640"/>
      <c r="C40" s="643">
        <f>C21-C33</f>
        <v>4.1110000000000007</v>
      </c>
    </row>
    <row r="41" spans="1:3" ht="22" customHeight="1"/>
    <row r="42" spans="1:3" ht="22" customHeight="1"/>
    <row r="43" spans="1:3" ht="22" customHeight="1"/>
    <row r="75" spans="1:1">
      <c r="A75" t="s">
        <v>652</v>
      </c>
    </row>
    <row r="77" spans="1:1">
      <c r="A77" t="s">
        <v>420</v>
      </c>
    </row>
    <row r="79" spans="1:1">
      <c r="A79" t="s">
        <v>421</v>
      </c>
    </row>
    <row r="80" spans="1:1">
      <c r="A80" s="350" t="s">
        <v>419</v>
      </c>
    </row>
  </sheetData>
  <phoneticPr fontId="54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9"/>
  <sheetViews>
    <sheetView topLeftCell="A76" workbookViewId="0">
      <selection activeCell="C99" sqref="C99"/>
    </sheetView>
  </sheetViews>
  <sheetFormatPr baseColWidth="10" defaultRowHeight="15" x14ac:dyDescent="0"/>
  <cols>
    <col min="2" max="2" width="14.6640625" customWidth="1"/>
    <col min="3" max="3" width="14.83203125" customWidth="1"/>
    <col min="4" max="4" width="14.33203125" customWidth="1"/>
    <col min="5" max="5" width="11.1640625" bestFit="1" customWidth="1"/>
    <col min="6" max="6" width="16.5" customWidth="1"/>
    <col min="7" max="7" width="12.33203125" customWidth="1"/>
    <col min="8" max="8" width="16.6640625" customWidth="1"/>
    <col min="9" max="9" width="16.33203125" customWidth="1"/>
    <col min="12" max="12" width="12.83203125" customWidth="1"/>
    <col min="13" max="13" width="11.1640625" bestFit="1" customWidth="1"/>
    <col min="14" max="14" width="11.83203125" customWidth="1"/>
    <col min="15" max="15" width="12.5" customWidth="1"/>
    <col min="17" max="17" width="13.83203125" customWidth="1"/>
    <col min="19" max="19" width="14.83203125" customWidth="1"/>
    <col min="24" max="24" width="17.33203125" customWidth="1"/>
  </cols>
  <sheetData>
    <row r="1" spans="1:10">
      <c r="A1" t="s">
        <v>0</v>
      </c>
    </row>
    <row r="2" spans="1:10">
      <c r="A2" t="s">
        <v>1</v>
      </c>
    </row>
    <row r="3" spans="1:10">
      <c r="A3" t="s">
        <v>55</v>
      </c>
      <c r="C3" t="s">
        <v>81</v>
      </c>
    </row>
    <row r="4" spans="1:10">
      <c r="C4" t="s">
        <v>82</v>
      </c>
    </row>
    <row r="6" spans="1:10">
      <c r="A6" s="10" t="s">
        <v>56</v>
      </c>
    </row>
    <row r="7" spans="1:10">
      <c r="A7" s="10" t="s">
        <v>57</v>
      </c>
    </row>
    <row r="8" spans="1:10">
      <c r="A8" s="10" t="s">
        <v>58</v>
      </c>
    </row>
    <row r="13" spans="1:10">
      <c r="A13" s="10" t="s">
        <v>241</v>
      </c>
    </row>
    <row r="14" spans="1:10">
      <c r="A14" s="10" t="s">
        <v>6</v>
      </c>
    </row>
    <row r="15" spans="1:10">
      <c r="J15" t="s">
        <v>547</v>
      </c>
    </row>
    <row r="16" spans="1:10">
      <c r="A16" t="s">
        <v>54</v>
      </c>
      <c r="J16" s="472" t="s">
        <v>128</v>
      </c>
    </row>
    <row r="31" spans="4:17">
      <c r="D31" s="52" t="s">
        <v>108</v>
      </c>
      <c r="E31">
        <v>2021</v>
      </c>
      <c r="F31">
        <v>2026</v>
      </c>
      <c r="G31">
        <v>2031</v>
      </c>
      <c r="L31" s="52" t="s">
        <v>124</v>
      </c>
      <c r="M31">
        <v>2021</v>
      </c>
      <c r="N31">
        <v>2026</v>
      </c>
      <c r="O31">
        <v>2031</v>
      </c>
      <c r="Q31" t="s">
        <v>507</v>
      </c>
    </row>
    <row r="32" spans="4:17">
      <c r="D32" s="52" t="s">
        <v>504</v>
      </c>
      <c r="G32" s="380">
        <v>167045</v>
      </c>
      <c r="L32" s="52" t="s">
        <v>504</v>
      </c>
      <c r="M32" s="380">
        <v>119467</v>
      </c>
      <c r="N32" s="380">
        <v>167637</v>
      </c>
      <c r="O32" s="380">
        <v>173931</v>
      </c>
      <c r="Q32" t="s">
        <v>591</v>
      </c>
    </row>
    <row r="33" spans="1:17">
      <c r="D33" s="52" t="s">
        <v>505</v>
      </c>
      <c r="G33" s="380">
        <v>42746320</v>
      </c>
      <c r="L33" s="52" t="s">
        <v>505</v>
      </c>
      <c r="M33" s="380">
        <v>30961199</v>
      </c>
      <c r="N33" s="380">
        <v>43535017</v>
      </c>
      <c r="O33" s="380">
        <v>45172601</v>
      </c>
      <c r="Q33" s="27">
        <f>O33-G33</f>
        <v>2426281</v>
      </c>
    </row>
    <row r="34" spans="1:17">
      <c r="D34" s="52" t="s">
        <v>506</v>
      </c>
      <c r="E34" s="380">
        <v>446567748</v>
      </c>
      <c r="F34" s="380">
        <v>621058891</v>
      </c>
      <c r="G34" s="380">
        <v>645937430</v>
      </c>
      <c r="L34" s="52" t="s">
        <v>506</v>
      </c>
      <c r="M34" s="380">
        <v>452753922</v>
      </c>
      <c r="N34" s="380">
        <v>630655913</v>
      </c>
      <c r="O34" s="380">
        <v>653748003</v>
      </c>
      <c r="Q34" s="27">
        <f>O34-G34</f>
        <v>7810573</v>
      </c>
    </row>
    <row r="35" spans="1:17">
      <c r="D35" s="52" t="s">
        <v>503</v>
      </c>
      <c r="E35" s="380"/>
      <c r="F35" s="380"/>
      <c r="G35" s="381">
        <f>G34/G33</f>
        <v>15.110948264084488</v>
      </c>
      <c r="L35" s="52" t="s">
        <v>503</v>
      </c>
      <c r="M35" s="473">
        <f>M34/M33</f>
        <v>14.623268368902638</v>
      </c>
      <c r="N35" s="473">
        <f>N34/N33</f>
        <v>14.486175875387852</v>
      </c>
      <c r="O35" s="473">
        <f>O34/O33</f>
        <v>14.472224059004262</v>
      </c>
      <c r="Q35" s="381">
        <f>Q34/Q33</f>
        <v>3.2191543353799497</v>
      </c>
    </row>
    <row r="36" spans="1:17" ht="16" thickBot="1">
      <c r="A36" s="85"/>
      <c r="B36" s="85"/>
      <c r="C36" s="85"/>
      <c r="D36" s="85"/>
      <c r="E36" s="86"/>
      <c r="F36" s="87"/>
      <c r="G36" s="87"/>
      <c r="H36" s="85"/>
      <c r="I36" s="85"/>
      <c r="J36" s="85"/>
      <c r="K36" s="85"/>
      <c r="L36" s="85"/>
      <c r="M36" s="85"/>
      <c r="N36" s="85"/>
      <c r="O36" s="85"/>
      <c r="P36" s="85"/>
    </row>
    <row r="37" spans="1:17" ht="16" thickTop="1">
      <c r="A37" s="32"/>
      <c r="B37" s="32"/>
      <c r="C37" s="32"/>
      <c r="D37" s="32"/>
      <c r="E37" s="83"/>
      <c r="F37" s="84"/>
      <c r="G37" s="84"/>
      <c r="H37" s="32"/>
      <c r="I37" s="32"/>
      <c r="J37" s="32"/>
      <c r="K37" s="32"/>
      <c r="L37" s="32"/>
      <c r="M37" s="32"/>
      <c r="N37" s="32"/>
      <c r="O37" s="32"/>
      <c r="P37" s="32"/>
    </row>
    <row r="38" spans="1:17">
      <c r="A38" t="s">
        <v>100</v>
      </c>
      <c r="E38" s="52"/>
      <c r="F38" s="79"/>
      <c r="G38" s="79"/>
      <c r="Q38" s="380"/>
    </row>
    <row r="39" spans="1:17">
      <c r="A39" t="s">
        <v>101</v>
      </c>
      <c r="E39" s="52"/>
      <c r="F39" s="79"/>
      <c r="G39" s="79"/>
    </row>
    <row r="40" spans="1:17">
      <c r="A40" t="s">
        <v>102</v>
      </c>
      <c r="E40" s="52"/>
      <c r="F40" s="79"/>
      <c r="G40" s="79"/>
    </row>
    <row r="41" spans="1:17">
      <c r="A41" t="s">
        <v>103</v>
      </c>
      <c r="E41" s="52"/>
      <c r="F41" s="79"/>
      <c r="G41" s="79"/>
    </row>
    <row r="42" spans="1:17">
      <c r="A42" t="s">
        <v>104</v>
      </c>
      <c r="E42" s="52"/>
      <c r="F42" s="79"/>
      <c r="G42" s="79"/>
    </row>
    <row r="43" spans="1:17">
      <c r="E43" s="52"/>
      <c r="F43" s="79"/>
      <c r="G43" s="79"/>
    </row>
    <row r="46" spans="1:17">
      <c r="G46" t="s">
        <v>572</v>
      </c>
      <c r="I46" t="s">
        <v>5</v>
      </c>
    </row>
    <row r="47" spans="1:17">
      <c r="C47" s="2" t="s">
        <v>3</v>
      </c>
      <c r="G47" t="s">
        <v>573</v>
      </c>
      <c r="I47" t="s">
        <v>6</v>
      </c>
    </row>
    <row r="48" spans="1:17">
      <c r="B48" t="s">
        <v>2</v>
      </c>
      <c r="C48" s="2" t="s">
        <v>4</v>
      </c>
      <c r="G48" t="s">
        <v>574</v>
      </c>
    </row>
    <row r="49" spans="1:13">
      <c r="A49" s="8" t="s">
        <v>397</v>
      </c>
      <c r="B49" s="1">
        <v>2021</v>
      </c>
      <c r="C49" s="3">
        <v>72.599999999999994</v>
      </c>
    </row>
    <row r="50" spans="1:13">
      <c r="A50" s="8" t="s">
        <v>199</v>
      </c>
      <c r="B50" s="1">
        <v>2022</v>
      </c>
      <c r="C50" s="3">
        <v>193.6</v>
      </c>
      <c r="I50" s="10" t="s">
        <v>7</v>
      </c>
      <c r="J50" s="10" t="s">
        <v>11</v>
      </c>
      <c r="K50" s="387" t="s">
        <v>11</v>
      </c>
      <c r="L50" s="80"/>
      <c r="M50" s="387" t="s">
        <v>510</v>
      </c>
    </row>
    <row r="51" spans="1:13">
      <c r="A51" s="8" t="s">
        <v>200</v>
      </c>
      <c r="B51" s="1">
        <v>2023</v>
      </c>
      <c r="C51" s="3">
        <v>245.4</v>
      </c>
      <c r="I51" t="s">
        <v>9</v>
      </c>
      <c r="J51" t="s">
        <v>52</v>
      </c>
      <c r="K51" s="80" t="s">
        <v>508</v>
      </c>
      <c r="L51" s="80"/>
      <c r="M51" s="80" t="s">
        <v>508</v>
      </c>
    </row>
    <row r="52" spans="1:13">
      <c r="A52" s="8" t="s">
        <v>201</v>
      </c>
      <c r="B52" s="1">
        <v>2024</v>
      </c>
      <c r="C52" s="3">
        <v>499.8</v>
      </c>
      <c r="I52" t="s">
        <v>8</v>
      </c>
      <c r="J52" t="s">
        <v>8</v>
      </c>
    </row>
    <row r="53" spans="1:13">
      <c r="A53" s="8" t="s">
        <v>202</v>
      </c>
      <c r="B53" s="1">
        <v>2025</v>
      </c>
      <c r="C53" s="3">
        <v>557.1</v>
      </c>
      <c r="I53" t="s">
        <v>84</v>
      </c>
      <c r="J53" t="s">
        <v>84</v>
      </c>
      <c r="K53" t="s">
        <v>509</v>
      </c>
      <c r="M53" t="s">
        <v>511</v>
      </c>
    </row>
    <row r="54" spans="1:13" ht="18">
      <c r="A54" s="408" t="s">
        <v>203</v>
      </c>
      <c r="B54" s="7">
        <v>2026</v>
      </c>
      <c r="C54" s="5">
        <v>593.9</v>
      </c>
      <c r="H54">
        <v>2026</v>
      </c>
      <c r="I54" s="382">
        <v>621</v>
      </c>
      <c r="J54" s="382">
        <v>630.70000000000005</v>
      </c>
    </row>
    <row r="55" spans="1:13" ht="18">
      <c r="A55" s="8" t="s">
        <v>204</v>
      </c>
      <c r="B55" s="1">
        <v>2027</v>
      </c>
      <c r="C55" s="3">
        <v>608.79999999999995</v>
      </c>
      <c r="I55" s="384" t="s">
        <v>10</v>
      </c>
      <c r="J55" s="384" t="s">
        <v>10</v>
      </c>
    </row>
    <row r="56" spans="1:13" ht="18">
      <c r="A56" s="8" t="s">
        <v>205</v>
      </c>
      <c r="B56" s="1">
        <v>2028</v>
      </c>
      <c r="C56" s="3">
        <v>616.4</v>
      </c>
      <c r="H56">
        <v>2026</v>
      </c>
      <c r="I56" s="443">
        <f>I54-C54</f>
        <v>27.100000000000023</v>
      </c>
      <c r="J56" s="443">
        <f>J54-C54</f>
        <v>36.800000000000068</v>
      </c>
      <c r="K56" s="385">
        <f>J56*0.72</f>
        <v>26.496000000000048</v>
      </c>
      <c r="L56" s="80"/>
      <c r="M56" s="385">
        <f>J56*0.51</f>
        <v>18.768000000000036</v>
      </c>
    </row>
    <row r="57" spans="1:13" ht="18">
      <c r="A57" s="8" t="s">
        <v>206</v>
      </c>
      <c r="B57" s="1">
        <v>2029</v>
      </c>
      <c r="C57" s="3">
        <v>623</v>
      </c>
      <c r="H57">
        <v>2026</v>
      </c>
      <c r="I57" s="383">
        <f>(I54-C54)/I54</f>
        <v>4.3639291465378462E-2</v>
      </c>
      <c r="J57" s="383">
        <f>(J54-C54)/J54</f>
        <v>5.8347867448866442E-2</v>
      </c>
      <c r="K57" s="386"/>
      <c r="L57" s="80"/>
      <c r="M57" s="386"/>
    </row>
    <row r="58" spans="1:13" ht="18">
      <c r="A58" s="8" t="s">
        <v>207</v>
      </c>
      <c r="B58" s="1">
        <v>2030</v>
      </c>
      <c r="C58" s="3">
        <v>628.1</v>
      </c>
      <c r="I58" s="384"/>
      <c r="J58" s="384"/>
      <c r="K58" s="386"/>
      <c r="L58" s="80"/>
      <c r="M58" s="386"/>
    </row>
    <row r="59" spans="1:13" ht="18">
      <c r="A59" s="408" t="s">
        <v>208</v>
      </c>
      <c r="B59" s="4">
        <v>2031</v>
      </c>
      <c r="C59" s="6">
        <v>632.6</v>
      </c>
      <c r="H59">
        <v>2031</v>
      </c>
      <c r="I59" s="382">
        <v>645.9</v>
      </c>
      <c r="J59" s="382">
        <v>653.70000000000005</v>
      </c>
      <c r="K59" s="386"/>
      <c r="L59" s="80"/>
      <c r="M59" s="386"/>
    </row>
    <row r="60" spans="1:13" ht="18">
      <c r="A60" s="8" t="s">
        <v>209</v>
      </c>
      <c r="B60" s="1">
        <v>2032</v>
      </c>
      <c r="C60" s="3">
        <v>636</v>
      </c>
      <c r="I60" s="384" t="s">
        <v>10</v>
      </c>
      <c r="J60" s="384" t="s">
        <v>10</v>
      </c>
      <c r="K60" s="386"/>
      <c r="L60" s="80"/>
      <c r="M60" s="386"/>
    </row>
    <row r="61" spans="1:13" ht="18">
      <c r="A61" s="8" t="s">
        <v>210</v>
      </c>
      <c r="B61" s="1">
        <v>2033</v>
      </c>
      <c r="C61" s="3">
        <v>639.5</v>
      </c>
      <c r="H61">
        <v>2031</v>
      </c>
      <c r="I61" s="443">
        <f>I59-C59</f>
        <v>13.299999999999955</v>
      </c>
      <c r="J61" s="443">
        <f>J59-C59</f>
        <v>21.100000000000023</v>
      </c>
      <c r="K61" s="388">
        <f>J61*0.72</f>
        <v>15.192000000000016</v>
      </c>
      <c r="L61" s="80"/>
      <c r="M61" s="385">
        <f>J61*0.51</f>
        <v>10.761000000000012</v>
      </c>
    </row>
    <row r="62" spans="1:13" ht="18">
      <c r="A62" s="8" t="s">
        <v>211</v>
      </c>
      <c r="B62" s="1">
        <v>2034</v>
      </c>
      <c r="C62" s="3">
        <v>642.9</v>
      </c>
      <c r="H62">
        <v>2031</v>
      </c>
      <c r="I62" s="383">
        <f>(I59-C59)/I59</f>
        <v>2.0591422820870033E-2</v>
      </c>
      <c r="J62" s="383">
        <f>(J59-C59)/J59</f>
        <v>3.2277803273672974E-2</v>
      </c>
    </row>
    <row r="63" spans="1:13" ht="16" thickBot="1">
      <c r="A63" s="8" t="s">
        <v>212</v>
      </c>
      <c r="B63" s="1">
        <v>2035</v>
      </c>
      <c r="C63" s="3">
        <v>646.4</v>
      </c>
      <c r="J63" s="389" t="s">
        <v>566</v>
      </c>
      <c r="K63" s="389" t="s">
        <v>566</v>
      </c>
    </row>
    <row r="64" spans="1:13" ht="19" thickTop="1">
      <c r="A64" s="410" t="s">
        <v>197</v>
      </c>
      <c r="B64" s="1">
        <v>2036</v>
      </c>
      <c r="C64" s="3">
        <v>649.9</v>
      </c>
      <c r="J64" s="443">
        <f>J56+J61</f>
        <v>57.900000000000091</v>
      </c>
      <c r="K64" s="390">
        <f>K56+K61</f>
        <v>41.688000000000066</v>
      </c>
    </row>
    <row r="65" spans="1:10">
      <c r="A65" s="81" t="s">
        <v>316</v>
      </c>
      <c r="B65" s="1">
        <v>2037</v>
      </c>
      <c r="C65" s="3">
        <v>653.5</v>
      </c>
    </row>
    <row r="66" spans="1:10">
      <c r="A66" s="81" t="s">
        <v>317</v>
      </c>
      <c r="B66" s="1">
        <v>2038</v>
      </c>
      <c r="C66" s="3">
        <v>655.8</v>
      </c>
    </row>
    <row r="67" spans="1:10">
      <c r="A67" s="81" t="s">
        <v>318</v>
      </c>
      <c r="B67" s="1">
        <v>2039</v>
      </c>
      <c r="C67" s="3">
        <v>658.2</v>
      </c>
    </row>
    <row r="68" spans="1:10">
      <c r="A68" s="81" t="s">
        <v>381</v>
      </c>
      <c r="B68" s="1">
        <v>2040</v>
      </c>
      <c r="C68" s="3">
        <v>660.6</v>
      </c>
    </row>
    <row r="69" spans="1:10">
      <c r="A69" s="81" t="s">
        <v>383</v>
      </c>
      <c r="B69" s="1">
        <v>2041</v>
      </c>
      <c r="C69" s="3">
        <v>663</v>
      </c>
    </row>
    <row r="70" spans="1:10">
      <c r="A70" s="81" t="s">
        <v>319</v>
      </c>
      <c r="B70" s="1">
        <v>2042</v>
      </c>
      <c r="C70" s="3">
        <v>665.7</v>
      </c>
    </row>
    <row r="72" spans="1:10">
      <c r="D72" t="s">
        <v>13</v>
      </c>
      <c r="J72" t="s">
        <v>12</v>
      </c>
    </row>
    <row r="73" spans="1:10">
      <c r="D73" s="9">
        <v>4.0000000000000001E-3</v>
      </c>
      <c r="J73" s="9">
        <v>8.0000000000000002E-3</v>
      </c>
    </row>
    <row r="74" spans="1:10">
      <c r="C74" s="9"/>
      <c r="I74" s="9"/>
    </row>
    <row r="75" spans="1:10">
      <c r="C75" s="37" t="s">
        <v>31</v>
      </c>
    </row>
    <row r="77" spans="1:10">
      <c r="A77" s="10" t="s">
        <v>105</v>
      </c>
    </row>
    <row r="78" spans="1:10">
      <c r="A78" t="s">
        <v>90</v>
      </c>
    </row>
    <row r="79" spans="1:10">
      <c r="A79" s="70" t="s">
        <v>97</v>
      </c>
      <c r="B79" s="69"/>
      <c r="C79" s="69"/>
      <c r="D79" s="69"/>
    </row>
    <row r="80" spans="1:10">
      <c r="A80" s="69"/>
      <c r="B80" s="72" t="s">
        <v>112</v>
      </c>
      <c r="C80" s="72" t="s">
        <v>112</v>
      </c>
      <c r="D80" s="70" t="s">
        <v>116</v>
      </c>
    </row>
    <row r="81" spans="1:28">
      <c r="A81" s="69"/>
      <c r="B81" s="72" t="s">
        <v>113</v>
      </c>
      <c r="C81" s="72" t="s">
        <v>114</v>
      </c>
      <c r="D81" s="70" t="s">
        <v>118</v>
      </c>
    </row>
    <row r="82" spans="1:28">
      <c r="A82" s="69"/>
      <c r="B82" s="72" t="s">
        <v>110</v>
      </c>
      <c r="C82" s="72" t="s">
        <v>115</v>
      </c>
      <c r="D82" s="70" t="s">
        <v>110</v>
      </c>
    </row>
    <row r="83" spans="1:28">
      <c r="A83" s="69"/>
      <c r="B83" s="72" t="s">
        <v>111</v>
      </c>
      <c r="C83" s="72" t="s">
        <v>111</v>
      </c>
      <c r="D83" s="90" t="s">
        <v>111</v>
      </c>
    </row>
    <row r="84" spans="1:28">
      <c r="A84" t="s">
        <v>91</v>
      </c>
      <c r="B84" s="64">
        <f>Introduction!J35/1000</f>
        <v>3.01444935</v>
      </c>
      <c r="C84" s="64">
        <f>N109</f>
        <v>3.0876769970655733</v>
      </c>
      <c r="D84" s="102">
        <f>C84-B84</f>
        <v>7.3227647065573276E-2</v>
      </c>
    </row>
    <row r="85" spans="1:28">
      <c r="A85" t="s">
        <v>92</v>
      </c>
      <c r="B85" s="64">
        <f>Introduction!J36/1000</f>
        <v>6.9795472460469119</v>
      </c>
      <c r="C85" s="64">
        <f>N124</f>
        <v>7.3296530896966363</v>
      </c>
      <c r="D85" s="102">
        <f>C85-B85</f>
        <v>0.35010584364972441</v>
      </c>
    </row>
    <row r="86" spans="1:28">
      <c r="A86" t="s">
        <v>96</v>
      </c>
      <c r="B86" s="64">
        <f>Introduction!J37/1000</f>
        <v>28.203571369898611</v>
      </c>
      <c r="C86" s="64">
        <f>N191</f>
        <v>34.582231842747063</v>
      </c>
      <c r="D86" s="64">
        <f>C86-B86</f>
        <v>6.3786604728484519</v>
      </c>
    </row>
    <row r="87" spans="1:28">
      <c r="B87" s="64"/>
      <c r="C87" s="64"/>
      <c r="D87" s="64"/>
    </row>
    <row r="88" spans="1:28" ht="16" thickBot="1">
      <c r="A88" s="13" t="s">
        <v>109</v>
      </c>
      <c r="P88" s="13" t="s">
        <v>123</v>
      </c>
    </row>
    <row r="89" spans="1:28">
      <c r="A89" s="53"/>
      <c r="B89" s="391" t="s">
        <v>512</v>
      </c>
      <c r="C89" s="54">
        <v>2026</v>
      </c>
      <c r="D89" s="98">
        <v>2031</v>
      </c>
      <c r="E89" s="62" t="s">
        <v>69</v>
      </c>
      <c r="J89" s="62" t="s">
        <v>69</v>
      </c>
      <c r="P89" s="53"/>
      <c r="Q89" s="392">
        <v>42767</v>
      </c>
      <c r="R89" s="54">
        <v>2026</v>
      </c>
      <c r="S89" s="98">
        <v>2031</v>
      </c>
      <c r="T89" s="62" t="s">
        <v>69</v>
      </c>
      <c r="Y89" s="62" t="s">
        <v>69</v>
      </c>
    </row>
    <row r="90" spans="1:28" ht="16" thickBot="1">
      <c r="A90" s="56"/>
      <c r="B90" s="99" t="s">
        <v>83</v>
      </c>
      <c r="C90" s="100">
        <v>621058891</v>
      </c>
      <c r="D90" s="101">
        <v>645937</v>
      </c>
      <c r="E90" s="8" t="s">
        <v>61</v>
      </c>
      <c r="F90" s="8" t="s">
        <v>65</v>
      </c>
      <c r="J90" s="10" t="s">
        <v>117</v>
      </c>
      <c r="P90" s="56"/>
      <c r="Q90" s="99" t="s">
        <v>83</v>
      </c>
      <c r="R90" s="100">
        <v>630655913</v>
      </c>
      <c r="S90" s="101">
        <v>653748003</v>
      </c>
      <c r="T90" t="s">
        <v>61</v>
      </c>
      <c r="U90" s="8" t="s">
        <v>65</v>
      </c>
      <c r="Y90" t="s">
        <v>71</v>
      </c>
      <c r="Z90" t="s">
        <v>71</v>
      </c>
      <c r="AA90" t="s">
        <v>71</v>
      </c>
    </row>
    <row r="91" spans="1:28">
      <c r="C91" s="8" t="s">
        <v>86</v>
      </c>
      <c r="E91" s="8" t="s">
        <v>62</v>
      </c>
      <c r="F91" s="8" t="s">
        <v>66</v>
      </c>
      <c r="G91" s="367" t="s">
        <v>68</v>
      </c>
      <c r="H91" s="367" t="s">
        <v>68</v>
      </c>
      <c r="J91" s="45" t="s">
        <v>72</v>
      </c>
      <c r="K91" s="45" t="s">
        <v>72</v>
      </c>
      <c r="L91" s="70" t="s">
        <v>75</v>
      </c>
      <c r="M91" t="s">
        <v>26</v>
      </c>
      <c r="R91" s="8" t="s">
        <v>86</v>
      </c>
      <c r="T91" t="s">
        <v>62</v>
      </c>
      <c r="U91" s="8" t="s">
        <v>66</v>
      </c>
      <c r="Y91" s="45" t="s">
        <v>72</v>
      </c>
      <c r="Z91" s="45" t="s">
        <v>72</v>
      </c>
      <c r="AA91" s="70" t="s">
        <v>75</v>
      </c>
      <c r="AB91" t="s">
        <v>26</v>
      </c>
    </row>
    <row r="92" spans="1:28">
      <c r="B92" s="88" t="s">
        <v>107</v>
      </c>
      <c r="C92" s="81" t="s">
        <v>85</v>
      </c>
      <c r="E92" s="8" t="s">
        <v>70</v>
      </c>
      <c r="F92" s="8" t="s">
        <v>67</v>
      </c>
      <c r="G92" s="368" t="s">
        <v>473</v>
      </c>
      <c r="H92" s="368" t="s">
        <v>473</v>
      </c>
      <c r="J92" t="s">
        <v>73</v>
      </c>
      <c r="K92" s="29">
        <v>0.15</v>
      </c>
      <c r="L92" s="29">
        <v>0.85</v>
      </c>
      <c r="R92" s="81" t="s">
        <v>85</v>
      </c>
      <c r="T92" s="8" t="s">
        <v>70</v>
      </c>
      <c r="U92" s="8" t="s">
        <v>67</v>
      </c>
      <c r="V92" s="52" t="s">
        <v>68</v>
      </c>
      <c r="Y92" t="s">
        <v>73</v>
      </c>
      <c r="Z92" s="29">
        <v>0.15</v>
      </c>
      <c r="AA92" s="29">
        <v>0.85</v>
      </c>
    </row>
    <row r="93" spans="1:28">
      <c r="A93" s="8" t="s">
        <v>64</v>
      </c>
      <c r="B93" s="88" t="s">
        <v>106</v>
      </c>
      <c r="C93" s="81" t="s">
        <v>4</v>
      </c>
      <c r="E93" s="8" t="s">
        <v>29</v>
      </c>
      <c r="F93" s="8" t="s">
        <v>29</v>
      </c>
      <c r="G93" s="8" t="s">
        <v>29</v>
      </c>
      <c r="J93" s="8" t="s">
        <v>29</v>
      </c>
      <c r="K93" s="8" t="s">
        <v>29</v>
      </c>
      <c r="L93" s="8" t="s">
        <v>29</v>
      </c>
      <c r="M93" s="8" t="s">
        <v>29</v>
      </c>
      <c r="P93" s="8" t="s">
        <v>64</v>
      </c>
      <c r="Q93" s="80"/>
      <c r="R93" s="81" t="s">
        <v>4</v>
      </c>
      <c r="T93" s="8" t="s">
        <v>29</v>
      </c>
      <c r="U93" s="8" t="s">
        <v>29</v>
      </c>
      <c r="V93" s="8" t="s">
        <v>29</v>
      </c>
      <c r="Y93" s="8" t="s">
        <v>29</v>
      </c>
      <c r="Z93" s="8" t="s">
        <v>29</v>
      </c>
      <c r="AA93" s="8" t="s">
        <v>29</v>
      </c>
      <c r="AB93" s="8" t="s">
        <v>29</v>
      </c>
    </row>
    <row r="94" spans="1:28">
      <c r="A94">
        <v>1</v>
      </c>
      <c r="B94" s="1">
        <v>2021</v>
      </c>
      <c r="C94" s="60">
        <v>72.599999999999994</v>
      </c>
      <c r="E94" s="19">
        <f>C94*0.72</f>
        <v>52.271999999999991</v>
      </c>
      <c r="F94" s="19">
        <f>C94*0.21</f>
        <v>15.245999999999999</v>
      </c>
      <c r="G94" s="395">
        <f>E94-F94</f>
        <v>37.025999999999996</v>
      </c>
      <c r="J94">
        <v>30</v>
      </c>
      <c r="K94" s="63">
        <f t="shared" ref="K94:K125" si="0">(G94-J94)*0.15</f>
        <v>1.0538999999999994</v>
      </c>
      <c r="L94" s="63">
        <f t="shared" ref="L94:L125" si="1">(G94-J94)*0.85</f>
        <v>5.9720999999999966</v>
      </c>
      <c r="M94" s="63">
        <f>J94+K94+L94</f>
        <v>37.025999999999996</v>
      </c>
      <c r="P94">
        <v>1</v>
      </c>
      <c r="Q94" s="1">
        <v>2021</v>
      </c>
      <c r="R94" s="60">
        <v>72.599999999999994</v>
      </c>
      <c r="T94" s="19">
        <f t="shared" ref="T94:T125" si="2">R94*0.72</f>
        <v>52.271999999999991</v>
      </c>
      <c r="U94" s="19">
        <f t="shared" ref="U94:U125" si="3">R94*0.21</f>
        <v>15.245999999999999</v>
      </c>
      <c r="V94" s="395">
        <f>T94-U94</f>
        <v>37.025999999999996</v>
      </c>
      <c r="Y94">
        <v>30</v>
      </c>
      <c r="Z94" s="63">
        <f t="shared" ref="Z94:Z125" si="4">(V94-Y94)*0.15</f>
        <v>1.0538999999999994</v>
      </c>
      <c r="AA94" s="63">
        <f t="shared" ref="AA94:AA125" si="5">(V94-Y94)*0.85</f>
        <v>5.9720999999999966</v>
      </c>
      <c r="AB94" s="63">
        <f>Y94+Z94+AA94</f>
        <v>37.025999999999996</v>
      </c>
    </row>
    <row r="95" spans="1:28">
      <c r="A95">
        <v>2</v>
      </c>
      <c r="B95" s="1">
        <v>2022</v>
      </c>
      <c r="C95" s="60">
        <v>193.6</v>
      </c>
      <c r="E95" s="19">
        <f t="shared" ref="E95:E158" si="6">C95*0.72</f>
        <v>139.392</v>
      </c>
      <c r="F95" s="19">
        <f t="shared" ref="F95:F158" si="7">C95*0.21</f>
        <v>40.655999999999999</v>
      </c>
      <c r="G95" s="395">
        <f t="shared" ref="G95:G158" si="8">E95-F95</f>
        <v>98.73599999999999</v>
      </c>
      <c r="J95">
        <v>30</v>
      </c>
      <c r="K95" s="63">
        <f t="shared" si="0"/>
        <v>10.310399999999998</v>
      </c>
      <c r="L95" s="63">
        <f t="shared" si="1"/>
        <v>58.425599999999989</v>
      </c>
      <c r="M95" s="63">
        <f t="shared" ref="M95:M158" si="9">J95+K95+L95</f>
        <v>98.73599999999999</v>
      </c>
      <c r="P95">
        <v>2</v>
      </c>
      <c r="Q95" s="1">
        <v>2022</v>
      </c>
      <c r="R95" s="60">
        <v>193.6</v>
      </c>
      <c r="T95" s="19">
        <f t="shared" si="2"/>
        <v>139.392</v>
      </c>
      <c r="U95" s="19">
        <f t="shared" si="3"/>
        <v>40.655999999999999</v>
      </c>
      <c r="V95" s="395">
        <f t="shared" ref="V95:V158" si="10">T95-U95</f>
        <v>98.73599999999999</v>
      </c>
      <c r="Y95">
        <v>30</v>
      </c>
      <c r="Z95" s="63">
        <f t="shared" si="4"/>
        <v>10.310399999999998</v>
      </c>
      <c r="AA95" s="63">
        <f t="shared" si="5"/>
        <v>58.425599999999989</v>
      </c>
      <c r="AB95" s="63">
        <f t="shared" ref="AB95:AB158" si="11">Y95+Z95+AA95</f>
        <v>98.73599999999999</v>
      </c>
    </row>
    <row r="96" spans="1:28">
      <c r="A96">
        <v>3</v>
      </c>
      <c r="B96" s="1">
        <v>2023</v>
      </c>
      <c r="C96" s="60">
        <v>245.4</v>
      </c>
      <c r="E96" s="19">
        <f t="shared" si="6"/>
        <v>176.68799999999999</v>
      </c>
      <c r="F96" s="19">
        <f t="shared" si="7"/>
        <v>51.533999999999999</v>
      </c>
      <c r="G96" s="395">
        <f t="shared" si="8"/>
        <v>125.154</v>
      </c>
      <c r="J96">
        <v>30</v>
      </c>
      <c r="K96" s="63">
        <f t="shared" si="0"/>
        <v>14.273099999999999</v>
      </c>
      <c r="L96" s="63">
        <f t="shared" si="1"/>
        <v>80.880899999999997</v>
      </c>
      <c r="M96" s="63">
        <f t="shared" si="9"/>
        <v>125.154</v>
      </c>
      <c r="P96">
        <v>3</v>
      </c>
      <c r="Q96" s="1">
        <v>2023</v>
      </c>
      <c r="R96" s="60">
        <v>245.4</v>
      </c>
      <c r="T96" s="19">
        <f t="shared" si="2"/>
        <v>176.68799999999999</v>
      </c>
      <c r="U96" s="19">
        <f t="shared" si="3"/>
        <v>51.533999999999999</v>
      </c>
      <c r="V96" s="395">
        <f t="shared" si="10"/>
        <v>125.154</v>
      </c>
      <c r="Y96">
        <v>30</v>
      </c>
      <c r="Z96" s="63">
        <f t="shared" si="4"/>
        <v>14.273099999999999</v>
      </c>
      <c r="AA96" s="63">
        <f t="shared" si="5"/>
        <v>80.880899999999997</v>
      </c>
      <c r="AB96" s="63">
        <f t="shared" si="11"/>
        <v>125.154</v>
      </c>
    </row>
    <row r="97" spans="1:29">
      <c r="A97">
        <v>4</v>
      </c>
      <c r="B97" s="1">
        <v>2024</v>
      </c>
      <c r="C97" s="60">
        <v>499.8</v>
      </c>
      <c r="E97" s="19">
        <f t="shared" si="6"/>
        <v>359.85599999999999</v>
      </c>
      <c r="F97" s="19">
        <f t="shared" si="7"/>
        <v>104.958</v>
      </c>
      <c r="G97" s="395">
        <f t="shared" si="8"/>
        <v>254.898</v>
      </c>
      <c r="J97">
        <v>30</v>
      </c>
      <c r="K97" s="63">
        <f t="shared" si="0"/>
        <v>33.734699999999997</v>
      </c>
      <c r="L97" s="63">
        <f t="shared" si="1"/>
        <v>191.16329999999999</v>
      </c>
      <c r="M97" s="63">
        <f t="shared" si="9"/>
        <v>254.898</v>
      </c>
      <c r="P97">
        <v>4</v>
      </c>
      <c r="Q97" s="1">
        <v>2024</v>
      </c>
      <c r="R97" s="60">
        <v>499.8</v>
      </c>
      <c r="T97" s="19">
        <f t="shared" si="2"/>
        <v>359.85599999999999</v>
      </c>
      <c r="U97" s="19">
        <f t="shared" si="3"/>
        <v>104.958</v>
      </c>
      <c r="V97" s="395">
        <f t="shared" si="10"/>
        <v>254.898</v>
      </c>
      <c r="Y97">
        <v>30</v>
      </c>
      <c r="Z97" s="63">
        <f t="shared" si="4"/>
        <v>33.734699999999997</v>
      </c>
      <c r="AA97" s="63">
        <f t="shared" si="5"/>
        <v>191.16329999999999</v>
      </c>
      <c r="AB97" s="63">
        <f t="shared" si="11"/>
        <v>254.898</v>
      </c>
    </row>
    <row r="98" spans="1:29">
      <c r="A98">
        <v>5</v>
      </c>
      <c r="B98" s="1">
        <v>2025</v>
      </c>
      <c r="C98" s="60">
        <v>557.1</v>
      </c>
      <c r="E98" s="19">
        <f t="shared" si="6"/>
        <v>401.11200000000002</v>
      </c>
      <c r="F98" s="19">
        <f t="shared" si="7"/>
        <v>116.991</v>
      </c>
      <c r="G98" s="395">
        <f t="shared" si="8"/>
        <v>284.12100000000004</v>
      </c>
      <c r="J98">
        <v>30</v>
      </c>
      <c r="K98" s="63">
        <f t="shared" si="0"/>
        <v>38.118150000000007</v>
      </c>
      <c r="L98" s="63">
        <f t="shared" si="1"/>
        <v>216.00285000000002</v>
      </c>
      <c r="M98" s="63">
        <f t="shared" si="9"/>
        <v>284.12100000000004</v>
      </c>
      <c r="P98">
        <v>5</v>
      </c>
      <c r="Q98" s="1">
        <v>2025</v>
      </c>
      <c r="R98" s="60">
        <v>557.1</v>
      </c>
      <c r="T98" s="19">
        <f t="shared" si="2"/>
        <v>401.11200000000002</v>
      </c>
      <c r="U98" s="19">
        <f t="shared" si="3"/>
        <v>116.991</v>
      </c>
      <c r="V98" s="395">
        <f t="shared" si="10"/>
        <v>284.12100000000004</v>
      </c>
      <c r="Y98">
        <v>30</v>
      </c>
      <c r="Z98" s="63">
        <f t="shared" si="4"/>
        <v>38.118150000000007</v>
      </c>
      <c r="AA98" s="63">
        <f t="shared" si="5"/>
        <v>216.00285000000002</v>
      </c>
      <c r="AB98" s="63">
        <f t="shared" si="11"/>
        <v>284.12100000000004</v>
      </c>
    </row>
    <row r="99" spans="1:29">
      <c r="A99" s="369">
        <v>6</v>
      </c>
      <c r="B99" s="7">
        <v>2026</v>
      </c>
      <c r="C99" s="409">
        <f>621058891/1000000</f>
        <v>621.05889100000002</v>
      </c>
      <c r="D99" s="80" t="s">
        <v>581</v>
      </c>
      <c r="E99" s="19">
        <f t="shared" si="6"/>
        <v>447.16240152</v>
      </c>
      <c r="F99" s="19">
        <f t="shared" si="7"/>
        <v>130.42236711000001</v>
      </c>
      <c r="G99" s="395">
        <f t="shared" si="8"/>
        <v>316.74003441000002</v>
      </c>
      <c r="J99">
        <v>30</v>
      </c>
      <c r="K99" s="63">
        <f t="shared" si="0"/>
        <v>43.011005161500002</v>
      </c>
      <c r="L99" s="63">
        <f t="shared" si="1"/>
        <v>243.72902924850001</v>
      </c>
      <c r="M99" s="63">
        <f t="shared" si="9"/>
        <v>316.74003441000002</v>
      </c>
      <c r="P99">
        <v>6</v>
      </c>
      <c r="Q99" s="1">
        <v>2026</v>
      </c>
      <c r="R99" s="89">
        <v>630.70000000000005</v>
      </c>
      <c r="S99" s="80" t="s">
        <v>513</v>
      </c>
      <c r="T99" s="19">
        <f t="shared" si="2"/>
        <v>454.10400000000004</v>
      </c>
      <c r="U99" s="19">
        <f t="shared" si="3"/>
        <v>132.447</v>
      </c>
      <c r="V99" s="395">
        <f t="shared" si="10"/>
        <v>321.65700000000004</v>
      </c>
      <c r="Y99">
        <v>30</v>
      </c>
      <c r="Z99" s="63">
        <f t="shared" si="4"/>
        <v>43.748550000000002</v>
      </c>
      <c r="AA99" s="63">
        <f t="shared" si="5"/>
        <v>247.90845000000002</v>
      </c>
      <c r="AB99" s="63">
        <f t="shared" si="11"/>
        <v>321.65700000000004</v>
      </c>
    </row>
    <row r="100" spans="1:29">
      <c r="A100">
        <v>7</v>
      </c>
      <c r="B100" s="1">
        <v>2027</v>
      </c>
      <c r="C100" s="60">
        <f>C99*1.00789</f>
        <v>625.95904564999</v>
      </c>
      <c r="D100" s="400" t="s">
        <v>515</v>
      </c>
      <c r="E100" s="19">
        <f t="shared" si="6"/>
        <v>450.69051286799277</v>
      </c>
      <c r="F100" s="19">
        <f t="shared" si="7"/>
        <v>131.4513995864979</v>
      </c>
      <c r="G100" s="395">
        <f t="shared" si="8"/>
        <v>319.23911328149484</v>
      </c>
      <c r="J100">
        <v>30</v>
      </c>
      <c r="K100" s="63">
        <f t="shared" si="0"/>
        <v>43.385866992224223</v>
      </c>
      <c r="L100" s="63">
        <f t="shared" si="1"/>
        <v>245.8532462892706</v>
      </c>
      <c r="M100" s="63">
        <f t="shared" si="9"/>
        <v>319.23911328149484</v>
      </c>
      <c r="P100">
        <v>7</v>
      </c>
      <c r="Q100" s="1">
        <v>2027</v>
      </c>
      <c r="R100" s="60">
        <f>R99*1.0072</f>
        <v>635.24104000000011</v>
      </c>
      <c r="S100" s="400" t="s">
        <v>516</v>
      </c>
      <c r="T100" s="19">
        <f t="shared" si="2"/>
        <v>457.37354880000004</v>
      </c>
      <c r="U100" s="19">
        <f t="shared" si="3"/>
        <v>133.40061840000001</v>
      </c>
      <c r="V100" s="395">
        <f t="shared" si="10"/>
        <v>323.9729304</v>
      </c>
      <c r="Y100">
        <v>30</v>
      </c>
      <c r="Z100" s="63">
        <f t="shared" si="4"/>
        <v>44.095939559999998</v>
      </c>
      <c r="AA100" s="63">
        <f t="shared" si="5"/>
        <v>249.87699083999999</v>
      </c>
      <c r="AB100" s="63">
        <f t="shared" si="11"/>
        <v>323.9729304</v>
      </c>
    </row>
    <row r="101" spans="1:29">
      <c r="A101">
        <v>8</v>
      </c>
      <c r="B101" s="1">
        <v>2028</v>
      </c>
      <c r="C101" s="60">
        <f t="shared" ref="C101:C104" si="12">C100*1.00789</f>
        <v>630.89786252016836</v>
      </c>
      <c r="E101" s="19">
        <f t="shared" si="6"/>
        <v>454.24646101452123</v>
      </c>
      <c r="F101" s="19">
        <f t="shared" si="7"/>
        <v>132.48855112923536</v>
      </c>
      <c r="G101" s="395">
        <f t="shared" si="8"/>
        <v>321.75790988528587</v>
      </c>
      <c r="J101">
        <v>30</v>
      </c>
      <c r="K101" s="63">
        <f t="shared" si="0"/>
        <v>43.763686482792878</v>
      </c>
      <c r="L101" s="63">
        <f t="shared" si="1"/>
        <v>247.99422340249299</v>
      </c>
      <c r="M101" s="63">
        <f t="shared" si="9"/>
        <v>321.75790988528587</v>
      </c>
      <c r="P101">
        <v>8</v>
      </c>
      <c r="Q101" s="1">
        <v>2028</v>
      </c>
      <c r="R101" s="60">
        <f t="shared" ref="R101:R104" si="13">R100*1.0072</f>
        <v>639.81477548800012</v>
      </c>
      <c r="T101" s="19">
        <f t="shared" si="2"/>
        <v>460.66663835136006</v>
      </c>
      <c r="U101" s="19">
        <f t="shared" si="3"/>
        <v>134.36110285248003</v>
      </c>
      <c r="V101" s="395">
        <f t="shared" si="10"/>
        <v>326.30553549888003</v>
      </c>
      <c r="Y101">
        <v>30</v>
      </c>
      <c r="Z101" s="63">
        <f t="shared" si="4"/>
        <v>44.445830324832002</v>
      </c>
      <c r="AA101" s="63">
        <f t="shared" si="5"/>
        <v>251.85970517404803</v>
      </c>
      <c r="AB101" s="63">
        <f t="shared" si="11"/>
        <v>326.30553549888003</v>
      </c>
    </row>
    <row r="102" spans="1:29">
      <c r="A102">
        <v>9</v>
      </c>
      <c r="B102" s="1">
        <v>2029</v>
      </c>
      <c r="C102" s="60">
        <f t="shared" si="12"/>
        <v>635.87564665545244</v>
      </c>
      <c r="E102" s="19">
        <f t="shared" si="6"/>
        <v>457.83046559192576</v>
      </c>
      <c r="F102" s="19">
        <f t="shared" si="7"/>
        <v>133.53388579764501</v>
      </c>
      <c r="G102" s="395">
        <f t="shared" si="8"/>
        <v>324.29657979428077</v>
      </c>
      <c r="J102">
        <v>30</v>
      </c>
      <c r="K102" s="63">
        <f t="shared" si="0"/>
        <v>44.144486969142115</v>
      </c>
      <c r="L102" s="63">
        <f t="shared" si="1"/>
        <v>250.15209282513865</v>
      </c>
      <c r="M102" s="63">
        <f t="shared" si="9"/>
        <v>324.29657979428077</v>
      </c>
      <c r="P102">
        <v>9</v>
      </c>
      <c r="Q102" s="1">
        <v>2029</v>
      </c>
      <c r="R102" s="60">
        <f t="shared" si="13"/>
        <v>644.42144187151382</v>
      </c>
      <c r="T102" s="19">
        <f t="shared" si="2"/>
        <v>463.98343814748995</v>
      </c>
      <c r="U102" s="19">
        <f t="shared" si="3"/>
        <v>135.32850279301789</v>
      </c>
      <c r="V102" s="395">
        <f t="shared" si="10"/>
        <v>328.65493535447206</v>
      </c>
      <c r="Y102">
        <v>30</v>
      </c>
      <c r="Z102" s="63">
        <f t="shared" si="4"/>
        <v>44.798240303170807</v>
      </c>
      <c r="AA102" s="63">
        <f t="shared" si="5"/>
        <v>253.85669505130124</v>
      </c>
      <c r="AB102" s="63">
        <f t="shared" si="11"/>
        <v>328.65493535447206</v>
      </c>
    </row>
    <row r="103" spans="1:29">
      <c r="A103">
        <v>10</v>
      </c>
      <c r="B103" s="1">
        <v>2030</v>
      </c>
      <c r="C103" s="60">
        <f t="shared" si="12"/>
        <v>640.89270550756396</v>
      </c>
      <c r="E103" s="19">
        <f t="shared" si="6"/>
        <v>461.44274796544602</v>
      </c>
      <c r="F103" s="19">
        <f t="shared" si="7"/>
        <v>134.58746815658841</v>
      </c>
      <c r="G103" s="395">
        <f t="shared" si="8"/>
        <v>326.85527980885763</v>
      </c>
      <c r="J103">
        <v>30</v>
      </c>
      <c r="K103" s="63">
        <f t="shared" si="0"/>
        <v>44.528291971328642</v>
      </c>
      <c r="L103" s="63">
        <f t="shared" si="1"/>
        <v>252.32698783752897</v>
      </c>
      <c r="M103" s="63">
        <f t="shared" si="9"/>
        <v>326.85527980885763</v>
      </c>
      <c r="P103">
        <v>10</v>
      </c>
      <c r="Q103" s="1">
        <v>2030</v>
      </c>
      <c r="R103" s="60">
        <f t="shared" si="13"/>
        <v>649.06127625298882</v>
      </c>
      <c r="T103" s="19">
        <f t="shared" si="2"/>
        <v>467.32411890215195</v>
      </c>
      <c r="U103" s="19">
        <f t="shared" si="3"/>
        <v>136.30286801312764</v>
      </c>
      <c r="V103" s="395">
        <f t="shared" si="10"/>
        <v>331.02125088902432</v>
      </c>
      <c r="Y103">
        <v>30</v>
      </c>
      <c r="Z103" s="63">
        <f t="shared" si="4"/>
        <v>45.153187633353646</v>
      </c>
      <c r="AA103" s="63">
        <f t="shared" si="5"/>
        <v>255.86806325567065</v>
      </c>
      <c r="AB103" s="63">
        <f t="shared" si="11"/>
        <v>331.02125088902426</v>
      </c>
    </row>
    <row r="104" spans="1:29">
      <c r="A104" s="369">
        <v>11</v>
      </c>
      <c r="B104" s="4">
        <v>2031</v>
      </c>
      <c r="C104" s="370">
        <f t="shared" si="12"/>
        <v>645.94934895401866</v>
      </c>
      <c r="D104" s="80" t="s">
        <v>581</v>
      </c>
      <c r="E104" s="19">
        <f t="shared" si="6"/>
        <v>465.08353124689341</v>
      </c>
      <c r="F104" s="19">
        <f t="shared" si="7"/>
        <v>135.64936328034392</v>
      </c>
      <c r="G104" s="395">
        <f t="shared" si="8"/>
        <v>329.43416796654947</v>
      </c>
      <c r="H104" s="2" t="s">
        <v>78</v>
      </c>
      <c r="J104">
        <v>30</v>
      </c>
      <c r="K104" s="63">
        <f t="shared" si="0"/>
        <v>44.915125194982416</v>
      </c>
      <c r="L104" s="63">
        <f t="shared" si="1"/>
        <v>254.51904277156703</v>
      </c>
      <c r="M104" s="63">
        <f t="shared" si="9"/>
        <v>329.43416796654947</v>
      </c>
      <c r="P104">
        <v>11</v>
      </c>
      <c r="Q104" s="61">
        <v>2031</v>
      </c>
      <c r="R104" s="89">
        <f t="shared" si="13"/>
        <v>653.73451744201043</v>
      </c>
      <c r="S104" s="80" t="s">
        <v>513</v>
      </c>
      <c r="T104" s="19">
        <f t="shared" si="2"/>
        <v>470.6888525582475</v>
      </c>
      <c r="U104" s="19">
        <f t="shared" si="3"/>
        <v>137.28424866282219</v>
      </c>
      <c r="V104" s="395">
        <f t="shared" si="10"/>
        <v>333.40460389542534</v>
      </c>
      <c r="Y104">
        <v>30</v>
      </c>
      <c r="Z104" s="63">
        <f t="shared" si="4"/>
        <v>45.510690584313799</v>
      </c>
      <c r="AA104" s="63">
        <f t="shared" si="5"/>
        <v>257.89391331111153</v>
      </c>
      <c r="AB104" s="63">
        <f t="shared" si="11"/>
        <v>333.40460389542534</v>
      </c>
    </row>
    <row r="105" spans="1:29">
      <c r="A105">
        <v>12</v>
      </c>
      <c r="B105" s="76">
        <v>2032</v>
      </c>
      <c r="C105" s="77">
        <f>C104*1.008</f>
        <v>651.11694374565081</v>
      </c>
      <c r="D105" s="400" t="s">
        <v>515</v>
      </c>
      <c r="E105" s="19">
        <f t="shared" si="6"/>
        <v>468.80419949686859</v>
      </c>
      <c r="F105" s="19">
        <f t="shared" si="7"/>
        <v>136.73455818658667</v>
      </c>
      <c r="G105" s="395">
        <f t="shared" si="8"/>
        <v>332.0696413102819</v>
      </c>
      <c r="H105" s="2" t="s">
        <v>79</v>
      </c>
      <c r="J105">
        <v>30</v>
      </c>
      <c r="K105" s="63">
        <f t="shared" si="0"/>
        <v>45.31044619654228</v>
      </c>
      <c r="L105" s="63">
        <f t="shared" si="1"/>
        <v>256.75919511373962</v>
      </c>
      <c r="M105" s="63">
        <f t="shared" si="9"/>
        <v>332.0696413102819</v>
      </c>
      <c r="N105" s="71" t="s">
        <v>93</v>
      </c>
      <c r="P105">
        <v>12</v>
      </c>
      <c r="Q105" s="76">
        <v>2032</v>
      </c>
      <c r="R105" s="77">
        <f>R104*1.008</f>
        <v>658.96439358154646</v>
      </c>
      <c r="S105" s="400" t="s">
        <v>516</v>
      </c>
      <c r="T105" s="19">
        <f t="shared" si="2"/>
        <v>474.45436337871342</v>
      </c>
      <c r="U105" s="19">
        <f t="shared" si="3"/>
        <v>138.38252265212475</v>
      </c>
      <c r="V105" s="395">
        <f t="shared" si="10"/>
        <v>336.07184072658868</v>
      </c>
      <c r="W105" s="2" t="s">
        <v>78</v>
      </c>
      <c r="Y105">
        <v>30</v>
      </c>
      <c r="Z105" s="63">
        <f t="shared" si="4"/>
        <v>45.910776108988301</v>
      </c>
      <c r="AA105" s="63">
        <f t="shared" si="5"/>
        <v>260.16106461760035</v>
      </c>
      <c r="AB105" s="63">
        <f t="shared" si="11"/>
        <v>336.07184072658868</v>
      </c>
      <c r="AC105" s="71" t="s">
        <v>93</v>
      </c>
    </row>
    <row r="106" spans="1:29">
      <c r="A106">
        <v>13</v>
      </c>
      <c r="B106" s="76">
        <v>2033</v>
      </c>
      <c r="C106" s="77">
        <f t="shared" ref="C106:C169" si="14">C105*1.008</f>
        <v>656.32587929561601</v>
      </c>
      <c r="D106" t="s">
        <v>514</v>
      </c>
      <c r="E106" s="19">
        <f t="shared" si="6"/>
        <v>472.55463309284352</v>
      </c>
      <c r="F106" s="19">
        <f t="shared" si="7"/>
        <v>137.82843465207935</v>
      </c>
      <c r="G106" s="395">
        <f t="shared" si="8"/>
        <v>334.72619844076416</v>
      </c>
      <c r="H106" s="68" t="s">
        <v>77</v>
      </c>
      <c r="J106">
        <v>30</v>
      </c>
      <c r="K106" s="63">
        <f t="shared" si="0"/>
        <v>45.708929766114622</v>
      </c>
      <c r="L106" s="63">
        <f t="shared" si="1"/>
        <v>259.01726867464953</v>
      </c>
      <c r="M106" s="63">
        <f t="shared" si="9"/>
        <v>334.72619844076416</v>
      </c>
      <c r="N106" s="72" t="s">
        <v>80</v>
      </c>
      <c r="P106">
        <v>13</v>
      </c>
      <c r="Q106" s="76">
        <v>2033</v>
      </c>
      <c r="R106" s="77">
        <f t="shared" ref="R106:R169" si="15">R105*1.008</f>
        <v>664.23610873019879</v>
      </c>
      <c r="S106" t="s">
        <v>514</v>
      </c>
      <c r="T106" s="19">
        <f t="shared" si="2"/>
        <v>478.24999828574312</v>
      </c>
      <c r="U106" s="19">
        <f t="shared" si="3"/>
        <v>139.48958283334173</v>
      </c>
      <c r="V106" s="395">
        <f t="shared" si="10"/>
        <v>338.76041545240139</v>
      </c>
      <c r="W106" s="2" t="s">
        <v>79</v>
      </c>
      <c r="Y106">
        <v>30</v>
      </c>
      <c r="Z106" s="63">
        <f t="shared" si="4"/>
        <v>46.314062317860206</v>
      </c>
      <c r="AA106" s="63">
        <f t="shared" si="5"/>
        <v>262.4463531345412</v>
      </c>
      <c r="AB106" s="63">
        <f t="shared" si="11"/>
        <v>338.76041545240139</v>
      </c>
      <c r="AC106" s="72" t="s">
        <v>80</v>
      </c>
    </row>
    <row r="107" spans="1:29">
      <c r="A107">
        <v>14</v>
      </c>
      <c r="B107" s="76">
        <v>2034</v>
      </c>
      <c r="C107" s="77">
        <f t="shared" si="14"/>
        <v>661.57648632998098</v>
      </c>
      <c r="E107" s="19">
        <f t="shared" si="6"/>
        <v>476.3350701575863</v>
      </c>
      <c r="F107" s="19">
        <f t="shared" si="7"/>
        <v>138.93106212929601</v>
      </c>
      <c r="G107" s="395">
        <f t="shared" si="8"/>
        <v>337.40400802829026</v>
      </c>
      <c r="H107" s="91" t="s">
        <v>119</v>
      </c>
      <c r="J107">
        <v>30</v>
      </c>
      <c r="K107" s="63">
        <f t="shared" si="0"/>
        <v>46.110601204243537</v>
      </c>
      <c r="L107" s="63">
        <f t="shared" si="1"/>
        <v>261.29340682404671</v>
      </c>
      <c r="M107" s="63">
        <f t="shared" si="9"/>
        <v>337.40400802829026</v>
      </c>
      <c r="N107" s="72" t="s">
        <v>94</v>
      </c>
      <c r="P107">
        <v>14</v>
      </c>
      <c r="Q107" s="76">
        <v>2034</v>
      </c>
      <c r="R107" s="77">
        <f t="shared" si="15"/>
        <v>669.54999760004034</v>
      </c>
      <c r="T107" s="19">
        <f t="shared" si="2"/>
        <v>482.07599827202904</v>
      </c>
      <c r="U107" s="19">
        <f t="shared" si="3"/>
        <v>140.60549949600846</v>
      </c>
      <c r="V107" s="395">
        <f t="shared" si="10"/>
        <v>341.47049877602058</v>
      </c>
      <c r="W107" s="68" t="s">
        <v>77</v>
      </c>
      <c r="Y107">
        <v>30</v>
      </c>
      <c r="Z107" s="63">
        <f t="shared" si="4"/>
        <v>46.720574816403087</v>
      </c>
      <c r="AA107" s="63">
        <f t="shared" si="5"/>
        <v>264.74992395961749</v>
      </c>
      <c r="AB107" s="63">
        <f t="shared" si="11"/>
        <v>341.47049877602058</v>
      </c>
      <c r="AC107" s="72" t="s">
        <v>94</v>
      </c>
    </row>
    <row r="108" spans="1:29" ht="16" thickBot="1">
      <c r="A108" s="92">
        <v>15</v>
      </c>
      <c r="B108" s="96">
        <v>2035</v>
      </c>
      <c r="C108" s="97">
        <f t="shared" si="14"/>
        <v>666.8690982206208</v>
      </c>
      <c r="D108" s="59"/>
      <c r="E108" s="249">
        <f t="shared" si="6"/>
        <v>480.14575071884695</v>
      </c>
      <c r="F108" s="249">
        <f t="shared" si="7"/>
        <v>140.04251062633037</v>
      </c>
      <c r="G108" s="396">
        <f t="shared" si="8"/>
        <v>340.10324009251656</v>
      </c>
      <c r="H108" s="67" t="s">
        <v>74</v>
      </c>
      <c r="J108" s="59">
        <v>30</v>
      </c>
      <c r="K108" s="94">
        <f t="shared" si="0"/>
        <v>46.515486013877485</v>
      </c>
      <c r="L108" s="94">
        <f t="shared" si="1"/>
        <v>263.58775407863908</v>
      </c>
      <c r="M108" s="94">
        <f t="shared" si="9"/>
        <v>340.10324009251656</v>
      </c>
      <c r="N108" s="73" t="s">
        <v>74</v>
      </c>
      <c r="P108" s="92">
        <v>15</v>
      </c>
      <c r="Q108" s="96">
        <v>2035</v>
      </c>
      <c r="R108" s="97">
        <f t="shared" si="15"/>
        <v>674.90639758084069</v>
      </c>
      <c r="S108" s="59"/>
      <c r="T108" s="249">
        <f t="shared" si="2"/>
        <v>485.93260625820528</v>
      </c>
      <c r="U108" s="249">
        <f t="shared" si="3"/>
        <v>141.73034349197653</v>
      </c>
      <c r="V108" s="396">
        <f t="shared" si="10"/>
        <v>344.20226276622873</v>
      </c>
      <c r="W108" s="67" t="s">
        <v>74</v>
      </c>
      <c r="X108" s="59"/>
      <c r="Y108" s="59">
        <v>30</v>
      </c>
      <c r="Z108" s="94">
        <f t="shared" si="4"/>
        <v>47.130339414934305</v>
      </c>
      <c r="AA108" s="94">
        <f t="shared" si="5"/>
        <v>267.0719233512944</v>
      </c>
      <c r="AB108" s="94">
        <f t="shared" si="11"/>
        <v>344.20226276622873</v>
      </c>
      <c r="AC108" s="73" t="s">
        <v>74</v>
      </c>
    </row>
    <row r="109" spans="1:29" ht="16" thickTop="1">
      <c r="A109" s="75">
        <v>16</v>
      </c>
      <c r="B109" s="76">
        <v>2036</v>
      </c>
      <c r="C109" s="77">
        <f t="shared" si="14"/>
        <v>672.20405100638573</v>
      </c>
      <c r="E109" s="17">
        <f t="shared" si="6"/>
        <v>483.98691672459768</v>
      </c>
      <c r="F109" s="17">
        <f t="shared" si="7"/>
        <v>141.16285071134101</v>
      </c>
      <c r="G109" s="395">
        <f t="shared" si="8"/>
        <v>342.8240660132567</v>
      </c>
      <c r="H109" s="66">
        <f>SUM(G94:G108)/1000</f>
        <v>4.0825611730183216</v>
      </c>
      <c r="J109">
        <v>30</v>
      </c>
      <c r="K109" s="63">
        <f t="shared" si="0"/>
        <v>46.923609901988506</v>
      </c>
      <c r="L109" s="63">
        <f t="shared" si="1"/>
        <v>265.90045611126817</v>
      </c>
      <c r="M109" s="78">
        <f t="shared" si="9"/>
        <v>342.8240660132567</v>
      </c>
      <c r="N109" s="66">
        <f>SUM(L94:L108)/1000</f>
        <v>3.0876769970655733</v>
      </c>
      <c r="P109" s="75">
        <v>16</v>
      </c>
      <c r="Q109" s="76">
        <v>2036</v>
      </c>
      <c r="R109" s="77">
        <f t="shared" si="15"/>
        <v>680.30564876148742</v>
      </c>
      <c r="T109" s="17">
        <f t="shared" si="2"/>
        <v>489.82006710827091</v>
      </c>
      <c r="U109" s="17">
        <f t="shared" si="3"/>
        <v>142.86418623991236</v>
      </c>
      <c r="V109" s="395">
        <f t="shared" si="10"/>
        <v>346.95588086835858</v>
      </c>
      <c r="W109" s="66">
        <f>SUM(V94:V108)/1000</f>
        <v>4.125456273759041</v>
      </c>
      <c r="Y109">
        <v>30</v>
      </c>
      <c r="Z109" s="63">
        <f t="shared" si="4"/>
        <v>47.543382130253782</v>
      </c>
      <c r="AA109" s="63">
        <f t="shared" si="5"/>
        <v>269.41249873810477</v>
      </c>
      <c r="AB109" s="78">
        <f t="shared" si="11"/>
        <v>346.95588086835858</v>
      </c>
      <c r="AC109" s="66">
        <f>SUM(AA94:AA108)/1000</f>
        <v>3.1241378326951854</v>
      </c>
    </row>
    <row r="110" spans="1:29">
      <c r="A110" s="75">
        <v>17</v>
      </c>
      <c r="B110" s="76">
        <v>2037</v>
      </c>
      <c r="C110" s="77">
        <f t="shared" si="14"/>
        <v>677.58168341443684</v>
      </c>
      <c r="E110" s="19">
        <f t="shared" si="6"/>
        <v>487.85881205839451</v>
      </c>
      <c r="F110" s="19">
        <f t="shared" si="7"/>
        <v>142.29215351703172</v>
      </c>
      <c r="G110" s="395">
        <f t="shared" si="8"/>
        <v>345.56665854136281</v>
      </c>
      <c r="J110">
        <v>30</v>
      </c>
      <c r="K110" s="63">
        <f t="shared" si="0"/>
        <v>47.334998781204419</v>
      </c>
      <c r="L110" s="63">
        <f t="shared" si="1"/>
        <v>268.23165976015838</v>
      </c>
      <c r="M110" s="63">
        <f t="shared" si="9"/>
        <v>345.56665854136281</v>
      </c>
      <c r="P110" s="75">
        <v>17</v>
      </c>
      <c r="Q110" s="76">
        <v>2037</v>
      </c>
      <c r="R110" s="77">
        <f t="shared" si="15"/>
        <v>685.74809395157934</v>
      </c>
      <c r="T110" s="19">
        <f t="shared" si="2"/>
        <v>493.73862764513711</v>
      </c>
      <c r="U110" s="19">
        <f t="shared" si="3"/>
        <v>144.00709972983165</v>
      </c>
      <c r="V110" s="395">
        <f t="shared" si="10"/>
        <v>349.73152791530549</v>
      </c>
      <c r="Y110">
        <v>30</v>
      </c>
      <c r="Z110" s="63">
        <f t="shared" si="4"/>
        <v>47.959729187295821</v>
      </c>
      <c r="AA110" s="63">
        <f t="shared" si="5"/>
        <v>271.77179872800968</v>
      </c>
      <c r="AB110" s="63">
        <f t="shared" si="11"/>
        <v>349.73152791530549</v>
      </c>
    </row>
    <row r="111" spans="1:29">
      <c r="A111" s="75">
        <v>18</v>
      </c>
      <c r="B111" s="76">
        <v>2038</v>
      </c>
      <c r="C111" s="77">
        <f t="shared" si="14"/>
        <v>683.00233688175229</v>
      </c>
      <c r="E111" s="19">
        <f t="shared" si="6"/>
        <v>491.76168255486164</v>
      </c>
      <c r="F111" s="19">
        <f t="shared" si="7"/>
        <v>143.43049074516799</v>
      </c>
      <c r="G111" s="395">
        <f t="shared" si="8"/>
        <v>348.33119180969368</v>
      </c>
      <c r="J111">
        <v>30</v>
      </c>
      <c r="K111" s="63">
        <f t="shared" si="0"/>
        <v>47.74967877145405</v>
      </c>
      <c r="L111" s="63">
        <f t="shared" si="1"/>
        <v>270.58151303823962</v>
      </c>
      <c r="M111" s="63">
        <f t="shared" si="9"/>
        <v>348.33119180969368</v>
      </c>
      <c r="P111" s="75">
        <v>18</v>
      </c>
      <c r="Q111" s="76">
        <v>2038</v>
      </c>
      <c r="R111" s="77">
        <f t="shared" si="15"/>
        <v>691.23407870319193</v>
      </c>
      <c r="T111" s="19">
        <f t="shared" si="2"/>
        <v>497.68853666629815</v>
      </c>
      <c r="U111" s="19">
        <f t="shared" si="3"/>
        <v>145.15915652767029</v>
      </c>
      <c r="V111" s="395">
        <f t="shared" si="10"/>
        <v>352.52938013862786</v>
      </c>
      <c r="Y111">
        <v>30</v>
      </c>
      <c r="Z111" s="63">
        <f t="shared" si="4"/>
        <v>48.379407020794176</v>
      </c>
      <c r="AA111" s="63">
        <f t="shared" si="5"/>
        <v>274.14997311783367</v>
      </c>
      <c r="AB111" s="63">
        <f t="shared" si="11"/>
        <v>352.52938013862786</v>
      </c>
    </row>
    <row r="112" spans="1:29">
      <c r="A112" s="75">
        <v>19</v>
      </c>
      <c r="B112" s="76">
        <v>2039</v>
      </c>
      <c r="C112" s="77">
        <f t="shared" si="14"/>
        <v>688.46635557680634</v>
      </c>
      <c r="E112" s="19">
        <f t="shared" si="6"/>
        <v>495.69577601530057</v>
      </c>
      <c r="F112" s="19">
        <f t="shared" si="7"/>
        <v>144.57793467112933</v>
      </c>
      <c r="G112" s="395">
        <f t="shared" si="8"/>
        <v>351.11784134417121</v>
      </c>
      <c r="J112">
        <v>30</v>
      </c>
      <c r="K112" s="63">
        <f t="shared" si="0"/>
        <v>48.167676201625682</v>
      </c>
      <c r="L112" s="63">
        <f t="shared" si="1"/>
        <v>272.95016514254553</v>
      </c>
      <c r="M112" s="63">
        <f t="shared" si="9"/>
        <v>351.11784134417121</v>
      </c>
      <c r="P112" s="75">
        <v>19</v>
      </c>
      <c r="Q112" s="76">
        <v>2039</v>
      </c>
      <c r="R112" s="77">
        <f t="shared" si="15"/>
        <v>696.76395133281744</v>
      </c>
      <c r="T112" s="19">
        <f t="shared" si="2"/>
        <v>501.67004495962851</v>
      </c>
      <c r="U112" s="19">
        <f t="shared" si="3"/>
        <v>146.32042977989167</v>
      </c>
      <c r="V112" s="395">
        <f t="shared" si="10"/>
        <v>355.34961517973682</v>
      </c>
      <c r="Y112">
        <v>30</v>
      </c>
      <c r="Z112" s="63">
        <f t="shared" si="4"/>
        <v>48.80244227696052</v>
      </c>
      <c r="AA112" s="63">
        <f t="shared" si="5"/>
        <v>276.54717290277631</v>
      </c>
      <c r="AB112" s="63">
        <f t="shared" si="11"/>
        <v>355.34961517973682</v>
      </c>
    </row>
    <row r="113" spans="1:29">
      <c r="A113" s="75">
        <v>20</v>
      </c>
      <c r="B113" s="76">
        <v>2040</v>
      </c>
      <c r="C113" s="77">
        <f t="shared" si="14"/>
        <v>693.97408642142079</v>
      </c>
      <c r="E113" s="19">
        <f t="shared" si="6"/>
        <v>499.66134222342293</v>
      </c>
      <c r="F113" s="19">
        <f t="shared" si="7"/>
        <v>145.73455814849837</v>
      </c>
      <c r="G113" s="395">
        <f t="shared" si="8"/>
        <v>353.92678407492457</v>
      </c>
      <c r="J113">
        <v>30</v>
      </c>
      <c r="K113" s="63">
        <f t="shared" si="0"/>
        <v>48.589017611238681</v>
      </c>
      <c r="L113" s="63">
        <f t="shared" si="1"/>
        <v>275.33776646368585</v>
      </c>
      <c r="M113" s="63">
        <f t="shared" si="9"/>
        <v>353.92678407492451</v>
      </c>
      <c r="P113" s="75">
        <v>20</v>
      </c>
      <c r="Q113" s="76">
        <v>2040</v>
      </c>
      <c r="R113" s="77">
        <f t="shared" si="15"/>
        <v>702.33806294347994</v>
      </c>
      <c r="T113" s="19">
        <f t="shared" si="2"/>
        <v>505.68340531930556</v>
      </c>
      <c r="U113" s="19">
        <f t="shared" si="3"/>
        <v>147.49099321813077</v>
      </c>
      <c r="V113" s="395">
        <f t="shared" si="10"/>
        <v>358.1924121011748</v>
      </c>
      <c r="Y113">
        <v>30</v>
      </c>
      <c r="Z113" s="63">
        <f t="shared" si="4"/>
        <v>49.228861815176217</v>
      </c>
      <c r="AA113" s="63">
        <f t="shared" si="5"/>
        <v>278.96355028599856</v>
      </c>
      <c r="AB113" s="63">
        <f t="shared" si="11"/>
        <v>358.1924121011748</v>
      </c>
    </row>
    <row r="114" spans="1:29">
      <c r="A114" s="75">
        <v>21</v>
      </c>
      <c r="B114" s="76">
        <v>2041</v>
      </c>
      <c r="C114" s="77">
        <f t="shared" si="14"/>
        <v>699.52587911279215</v>
      </c>
      <c r="E114" s="19">
        <f t="shared" si="6"/>
        <v>503.65863296121034</v>
      </c>
      <c r="F114" s="19">
        <f t="shared" si="7"/>
        <v>146.90043461368634</v>
      </c>
      <c r="G114" s="395">
        <f t="shared" si="8"/>
        <v>356.758198347524</v>
      </c>
      <c r="J114">
        <v>30</v>
      </c>
      <c r="K114" s="63">
        <f t="shared" si="0"/>
        <v>49.013729752128597</v>
      </c>
      <c r="L114" s="63">
        <f t="shared" si="1"/>
        <v>277.7444685953954</v>
      </c>
      <c r="M114" s="63">
        <f t="shared" si="9"/>
        <v>356.758198347524</v>
      </c>
      <c r="P114" s="75">
        <v>21</v>
      </c>
      <c r="Q114" s="76">
        <v>2041</v>
      </c>
      <c r="R114" s="77">
        <f t="shared" si="15"/>
        <v>707.9567674470278</v>
      </c>
      <c r="T114" s="19">
        <f t="shared" si="2"/>
        <v>509.72887256185999</v>
      </c>
      <c r="U114" s="19">
        <f t="shared" si="3"/>
        <v>148.67092116387585</v>
      </c>
      <c r="V114" s="395">
        <f t="shared" si="10"/>
        <v>361.05795139798414</v>
      </c>
      <c r="Y114">
        <v>30</v>
      </c>
      <c r="Z114" s="63">
        <f t="shared" si="4"/>
        <v>49.658692709697618</v>
      </c>
      <c r="AA114" s="63">
        <f t="shared" si="5"/>
        <v>281.39925868828652</v>
      </c>
      <c r="AB114" s="63">
        <f t="shared" si="11"/>
        <v>361.05795139798414</v>
      </c>
    </row>
    <row r="115" spans="1:29">
      <c r="A115" s="75">
        <v>22</v>
      </c>
      <c r="B115" s="76">
        <v>2042</v>
      </c>
      <c r="C115" s="77">
        <f t="shared" si="14"/>
        <v>705.12208614569454</v>
      </c>
      <c r="E115" s="19">
        <f t="shared" si="6"/>
        <v>507.68790202490004</v>
      </c>
      <c r="F115" s="19">
        <f t="shared" si="7"/>
        <v>148.07563809059585</v>
      </c>
      <c r="G115" s="395">
        <f t="shared" si="8"/>
        <v>359.61226393430422</v>
      </c>
      <c r="J115">
        <v>30</v>
      </c>
      <c r="K115" s="63">
        <f t="shared" si="0"/>
        <v>49.441839590145634</v>
      </c>
      <c r="L115" s="63">
        <f t="shared" si="1"/>
        <v>280.17042434415856</v>
      </c>
      <c r="M115" s="63">
        <f t="shared" si="9"/>
        <v>359.61226393430422</v>
      </c>
      <c r="P115" s="75">
        <v>22</v>
      </c>
      <c r="Q115" s="76">
        <v>2042</v>
      </c>
      <c r="R115" s="77">
        <f t="shared" si="15"/>
        <v>713.62042158660404</v>
      </c>
      <c r="T115" s="19">
        <f t="shared" si="2"/>
        <v>513.80670354235485</v>
      </c>
      <c r="U115" s="19">
        <f t="shared" si="3"/>
        <v>149.86028853318683</v>
      </c>
      <c r="V115" s="395">
        <f t="shared" si="10"/>
        <v>363.94641500916805</v>
      </c>
      <c r="Y115">
        <v>30</v>
      </c>
      <c r="Z115" s="63">
        <f t="shared" si="4"/>
        <v>50.091962251375207</v>
      </c>
      <c r="AA115" s="63">
        <f t="shared" si="5"/>
        <v>283.85445275779284</v>
      </c>
      <c r="AB115" s="63">
        <f t="shared" si="11"/>
        <v>363.94641500916805</v>
      </c>
    </row>
    <row r="116" spans="1:29">
      <c r="A116" s="75">
        <v>23</v>
      </c>
      <c r="B116" s="76">
        <v>2043</v>
      </c>
      <c r="C116" s="77">
        <f t="shared" si="14"/>
        <v>710.76306283486008</v>
      </c>
      <c r="E116" s="19">
        <f t="shared" si="6"/>
        <v>511.74940524109923</v>
      </c>
      <c r="F116" s="19">
        <f t="shared" si="7"/>
        <v>149.26024319532061</v>
      </c>
      <c r="G116" s="395">
        <f t="shared" si="8"/>
        <v>362.48916204577858</v>
      </c>
      <c r="J116">
        <v>30</v>
      </c>
      <c r="K116" s="63">
        <f t="shared" si="0"/>
        <v>49.873374306866786</v>
      </c>
      <c r="L116" s="63">
        <f t="shared" si="1"/>
        <v>282.61578773891176</v>
      </c>
      <c r="M116" s="63">
        <f t="shared" si="9"/>
        <v>362.48916204577858</v>
      </c>
      <c r="P116" s="75">
        <v>23</v>
      </c>
      <c r="Q116" s="76">
        <v>2043</v>
      </c>
      <c r="R116" s="77">
        <f t="shared" si="15"/>
        <v>719.32938495929693</v>
      </c>
      <c r="T116" s="19">
        <f t="shared" si="2"/>
        <v>517.91715717069383</v>
      </c>
      <c r="U116" s="19">
        <f t="shared" si="3"/>
        <v>151.05917084145236</v>
      </c>
      <c r="V116" s="395">
        <f t="shared" si="10"/>
        <v>366.8579863292415</v>
      </c>
      <c r="Y116">
        <v>30</v>
      </c>
      <c r="Z116" s="63">
        <f t="shared" si="4"/>
        <v>50.528697949386221</v>
      </c>
      <c r="AA116" s="63">
        <f t="shared" si="5"/>
        <v>286.32928837985526</v>
      </c>
      <c r="AB116" s="63">
        <f t="shared" si="11"/>
        <v>366.8579863292415</v>
      </c>
    </row>
    <row r="117" spans="1:29">
      <c r="A117" s="75">
        <v>24</v>
      </c>
      <c r="B117" s="76">
        <v>2044</v>
      </c>
      <c r="C117" s="77">
        <f t="shared" si="14"/>
        <v>716.44916733753894</v>
      </c>
      <c r="E117" s="19">
        <f t="shared" si="6"/>
        <v>515.84340048302806</v>
      </c>
      <c r="F117" s="19">
        <f t="shared" si="7"/>
        <v>150.45432514088318</v>
      </c>
      <c r="G117" s="395">
        <f t="shared" si="8"/>
        <v>365.38907534214491</v>
      </c>
      <c r="J117">
        <v>30</v>
      </c>
      <c r="K117" s="63">
        <f t="shared" si="0"/>
        <v>50.308361301321732</v>
      </c>
      <c r="L117" s="63">
        <f t="shared" si="1"/>
        <v>285.08071404082318</v>
      </c>
      <c r="M117" s="63">
        <f t="shared" si="9"/>
        <v>365.38907534214491</v>
      </c>
      <c r="P117" s="75">
        <v>24</v>
      </c>
      <c r="Q117" s="76">
        <v>2044</v>
      </c>
      <c r="R117" s="77">
        <f t="shared" si="15"/>
        <v>725.08402003897129</v>
      </c>
      <c r="T117" s="19">
        <f t="shared" si="2"/>
        <v>522.06049442805931</v>
      </c>
      <c r="U117" s="19">
        <f t="shared" si="3"/>
        <v>152.26764420818395</v>
      </c>
      <c r="V117" s="395">
        <f t="shared" si="10"/>
        <v>369.79285021987539</v>
      </c>
      <c r="Y117">
        <v>30</v>
      </c>
      <c r="Z117" s="63">
        <f t="shared" si="4"/>
        <v>50.968927532981304</v>
      </c>
      <c r="AA117" s="63">
        <f t="shared" si="5"/>
        <v>288.82392268689409</v>
      </c>
      <c r="AB117" s="63">
        <f t="shared" si="11"/>
        <v>369.79285021987539</v>
      </c>
    </row>
    <row r="118" spans="1:29">
      <c r="A118" s="75">
        <v>25</v>
      </c>
      <c r="B118" s="76">
        <v>2045</v>
      </c>
      <c r="C118" s="77">
        <f t="shared" si="14"/>
        <v>722.18076067623929</v>
      </c>
      <c r="E118" s="19">
        <f t="shared" si="6"/>
        <v>519.97014768689223</v>
      </c>
      <c r="F118" s="19">
        <f t="shared" si="7"/>
        <v>151.65795974201023</v>
      </c>
      <c r="G118" s="395">
        <f t="shared" si="8"/>
        <v>368.312187944882</v>
      </c>
      <c r="J118">
        <v>30</v>
      </c>
      <c r="K118" s="63">
        <f t="shared" si="0"/>
        <v>50.746828191732298</v>
      </c>
      <c r="L118" s="63">
        <f t="shared" si="1"/>
        <v>287.56535975314966</v>
      </c>
      <c r="M118" s="63">
        <f t="shared" si="9"/>
        <v>368.312187944882</v>
      </c>
      <c r="P118" s="75">
        <v>25</v>
      </c>
      <c r="Q118" s="76">
        <v>2045</v>
      </c>
      <c r="R118" s="77">
        <f t="shared" si="15"/>
        <v>730.88469219928311</v>
      </c>
      <c r="T118" s="19">
        <f t="shared" si="2"/>
        <v>526.2369783834838</v>
      </c>
      <c r="U118" s="19">
        <f t="shared" si="3"/>
        <v>153.48578536184945</v>
      </c>
      <c r="V118" s="395">
        <f t="shared" si="10"/>
        <v>372.75119302163432</v>
      </c>
      <c r="Y118">
        <v>30</v>
      </c>
      <c r="Z118" s="63">
        <f t="shared" si="4"/>
        <v>51.412678953245148</v>
      </c>
      <c r="AA118" s="63">
        <f t="shared" si="5"/>
        <v>291.33851406838914</v>
      </c>
      <c r="AB118" s="63">
        <f t="shared" si="11"/>
        <v>372.75119302163432</v>
      </c>
    </row>
    <row r="119" spans="1:29">
      <c r="A119" s="75">
        <v>26</v>
      </c>
      <c r="B119" s="76">
        <v>2046</v>
      </c>
      <c r="C119" s="77">
        <f t="shared" si="14"/>
        <v>727.95820676164919</v>
      </c>
      <c r="E119" s="19">
        <f t="shared" si="6"/>
        <v>524.12990886838736</v>
      </c>
      <c r="F119" s="19">
        <f t="shared" si="7"/>
        <v>152.87122341994632</v>
      </c>
      <c r="G119" s="395">
        <f t="shared" si="8"/>
        <v>371.25868544844104</v>
      </c>
      <c r="H119" s="2" t="s">
        <v>78</v>
      </c>
      <c r="J119">
        <v>30</v>
      </c>
      <c r="K119" s="63">
        <f t="shared" si="0"/>
        <v>51.188802817266158</v>
      </c>
      <c r="L119" s="63">
        <f t="shared" si="1"/>
        <v>290.06988263117489</v>
      </c>
      <c r="M119" s="63">
        <f t="shared" si="9"/>
        <v>371.25868544844104</v>
      </c>
      <c r="P119" s="75">
        <v>26</v>
      </c>
      <c r="Q119" s="76">
        <v>2046</v>
      </c>
      <c r="R119" s="77">
        <f t="shared" si="15"/>
        <v>736.73176973687737</v>
      </c>
      <c r="T119" s="19">
        <f t="shared" si="2"/>
        <v>530.44687421055164</v>
      </c>
      <c r="U119" s="19">
        <f t="shared" si="3"/>
        <v>154.71367164474424</v>
      </c>
      <c r="V119" s="395">
        <f t="shared" si="10"/>
        <v>375.7332025658074</v>
      </c>
      <c r="Y119">
        <v>30</v>
      </c>
      <c r="Z119" s="63">
        <f t="shared" si="4"/>
        <v>51.859980384871108</v>
      </c>
      <c r="AA119" s="63">
        <f t="shared" si="5"/>
        <v>293.8732221809363</v>
      </c>
      <c r="AB119" s="63">
        <f t="shared" si="11"/>
        <v>375.7332025658074</v>
      </c>
    </row>
    <row r="120" spans="1:29">
      <c r="A120" s="75">
        <v>27</v>
      </c>
      <c r="B120" s="76">
        <v>2047</v>
      </c>
      <c r="C120" s="77">
        <f t="shared" si="14"/>
        <v>733.78187241574244</v>
      </c>
      <c r="E120" s="19">
        <f t="shared" si="6"/>
        <v>528.32294813933458</v>
      </c>
      <c r="F120" s="19">
        <f t="shared" si="7"/>
        <v>154.09419320730592</v>
      </c>
      <c r="G120" s="395">
        <f t="shared" si="8"/>
        <v>374.22875493202866</v>
      </c>
      <c r="H120" s="2" t="s">
        <v>79</v>
      </c>
      <c r="J120">
        <v>30</v>
      </c>
      <c r="K120" s="63">
        <f t="shared" si="0"/>
        <v>51.6343132398043</v>
      </c>
      <c r="L120" s="63">
        <f t="shared" si="1"/>
        <v>292.59444169222434</v>
      </c>
      <c r="M120" s="63">
        <f t="shared" si="9"/>
        <v>374.22875493202866</v>
      </c>
      <c r="N120" s="71" t="s">
        <v>93</v>
      </c>
      <c r="P120" s="75">
        <v>27</v>
      </c>
      <c r="Q120" s="76">
        <v>2047</v>
      </c>
      <c r="R120" s="77">
        <f t="shared" si="15"/>
        <v>742.62562389477239</v>
      </c>
      <c r="T120" s="19">
        <f t="shared" si="2"/>
        <v>534.69044920423607</v>
      </c>
      <c r="U120" s="19">
        <f t="shared" si="3"/>
        <v>155.95138101790221</v>
      </c>
      <c r="V120" s="395">
        <f t="shared" si="10"/>
        <v>378.73906818633384</v>
      </c>
      <c r="W120" s="2" t="s">
        <v>78</v>
      </c>
      <c r="Y120">
        <v>30</v>
      </c>
      <c r="Z120" s="63">
        <f t="shared" si="4"/>
        <v>52.310860227950073</v>
      </c>
      <c r="AA120" s="63">
        <f t="shared" si="5"/>
        <v>296.42820795838378</v>
      </c>
      <c r="AB120" s="63">
        <f t="shared" si="11"/>
        <v>378.73906818633384</v>
      </c>
      <c r="AC120" s="71" t="s">
        <v>93</v>
      </c>
    </row>
    <row r="121" spans="1:29">
      <c r="A121" s="75">
        <v>28</v>
      </c>
      <c r="B121" s="76">
        <v>2048</v>
      </c>
      <c r="C121" s="77">
        <f t="shared" si="14"/>
        <v>739.65212739506842</v>
      </c>
      <c r="E121" s="19">
        <f t="shared" si="6"/>
        <v>532.54953172444925</v>
      </c>
      <c r="F121" s="19">
        <f t="shared" si="7"/>
        <v>155.32694675296437</v>
      </c>
      <c r="G121" s="395">
        <f t="shared" si="8"/>
        <v>377.22258497148488</v>
      </c>
      <c r="H121" s="68" t="s">
        <v>120</v>
      </c>
      <c r="J121">
        <v>30</v>
      </c>
      <c r="K121" s="63">
        <f t="shared" si="0"/>
        <v>52.083387745722732</v>
      </c>
      <c r="L121" s="63">
        <f t="shared" si="1"/>
        <v>295.13919722576213</v>
      </c>
      <c r="M121" s="63">
        <f t="shared" si="9"/>
        <v>377.22258497148488</v>
      </c>
      <c r="N121" s="72" t="s">
        <v>80</v>
      </c>
      <c r="P121" s="75">
        <v>28</v>
      </c>
      <c r="Q121" s="76">
        <v>2048</v>
      </c>
      <c r="R121" s="77">
        <f t="shared" si="15"/>
        <v>748.56662888593053</v>
      </c>
      <c r="T121" s="19">
        <f t="shared" si="2"/>
        <v>538.96797279786995</v>
      </c>
      <c r="U121" s="19">
        <f t="shared" si="3"/>
        <v>157.19899206604541</v>
      </c>
      <c r="V121" s="395">
        <f t="shared" si="10"/>
        <v>381.76898073182451</v>
      </c>
      <c r="W121" s="2" t="s">
        <v>79</v>
      </c>
      <c r="Y121">
        <v>30</v>
      </c>
      <c r="Z121" s="63">
        <f t="shared" si="4"/>
        <v>52.765347109773678</v>
      </c>
      <c r="AA121" s="63">
        <f t="shared" si="5"/>
        <v>299.00363362205081</v>
      </c>
      <c r="AB121" s="63">
        <f t="shared" si="11"/>
        <v>381.76898073182451</v>
      </c>
      <c r="AC121" s="72" t="s">
        <v>80</v>
      </c>
    </row>
    <row r="122" spans="1:29">
      <c r="A122" s="75">
        <v>29</v>
      </c>
      <c r="B122" s="76">
        <v>2049</v>
      </c>
      <c r="C122" s="77">
        <f t="shared" si="14"/>
        <v>745.56934441422902</v>
      </c>
      <c r="E122" s="19">
        <f t="shared" si="6"/>
        <v>536.8099279782449</v>
      </c>
      <c r="F122" s="19">
        <f t="shared" si="7"/>
        <v>156.56956232698809</v>
      </c>
      <c r="G122" s="395">
        <f t="shared" si="8"/>
        <v>380.24036565125681</v>
      </c>
      <c r="H122" s="91" t="s">
        <v>119</v>
      </c>
      <c r="J122">
        <v>30</v>
      </c>
      <c r="K122" s="63">
        <f t="shared" si="0"/>
        <v>52.536054847688519</v>
      </c>
      <c r="L122" s="63">
        <f t="shared" si="1"/>
        <v>297.70431080356826</v>
      </c>
      <c r="M122" s="63">
        <f t="shared" si="9"/>
        <v>380.24036565125675</v>
      </c>
      <c r="N122" s="72" t="s">
        <v>94</v>
      </c>
      <c r="P122" s="75">
        <v>29</v>
      </c>
      <c r="Q122" s="76">
        <v>2049</v>
      </c>
      <c r="R122" s="77">
        <f t="shared" si="15"/>
        <v>754.55516191701793</v>
      </c>
      <c r="T122" s="19">
        <f t="shared" si="2"/>
        <v>543.27971658025285</v>
      </c>
      <c r="U122" s="19">
        <f t="shared" si="3"/>
        <v>158.45658400257375</v>
      </c>
      <c r="V122" s="395">
        <f t="shared" si="10"/>
        <v>384.82313257767908</v>
      </c>
      <c r="W122" s="68" t="s">
        <v>77</v>
      </c>
      <c r="Y122">
        <v>30</v>
      </c>
      <c r="Z122" s="63">
        <f t="shared" si="4"/>
        <v>53.223469886651863</v>
      </c>
      <c r="AA122" s="63">
        <f t="shared" si="5"/>
        <v>301.59966269102722</v>
      </c>
      <c r="AB122" s="63">
        <f t="shared" si="11"/>
        <v>384.82313257767908</v>
      </c>
      <c r="AC122" s="72" t="s">
        <v>94</v>
      </c>
    </row>
    <row r="123" spans="1:29" ht="16" thickBot="1">
      <c r="A123" s="95">
        <v>30</v>
      </c>
      <c r="B123" s="96">
        <v>2050</v>
      </c>
      <c r="C123" s="97">
        <f t="shared" si="14"/>
        <v>751.53389916954291</v>
      </c>
      <c r="D123" s="59"/>
      <c r="E123" s="249">
        <f t="shared" si="6"/>
        <v>541.10440740207082</v>
      </c>
      <c r="F123" s="249">
        <f t="shared" si="7"/>
        <v>157.82211882560401</v>
      </c>
      <c r="G123" s="396">
        <f t="shared" si="8"/>
        <v>383.28228857646684</v>
      </c>
      <c r="H123" s="67" t="s">
        <v>74</v>
      </c>
      <c r="J123" s="59">
        <v>30</v>
      </c>
      <c r="K123" s="94">
        <f t="shared" si="0"/>
        <v>52.992343286470025</v>
      </c>
      <c r="L123" s="94">
        <f t="shared" si="1"/>
        <v>300.28994528999681</v>
      </c>
      <c r="M123" s="94">
        <f t="shared" si="9"/>
        <v>383.28228857646684</v>
      </c>
      <c r="N123" s="73" t="s">
        <v>74</v>
      </c>
      <c r="P123" s="95">
        <v>30</v>
      </c>
      <c r="Q123" s="96">
        <v>2050</v>
      </c>
      <c r="R123" s="77">
        <f t="shared" si="15"/>
        <v>760.59160321235413</v>
      </c>
      <c r="S123" s="59"/>
      <c r="T123" s="249">
        <f t="shared" si="2"/>
        <v>547.62595431289492</v>
      </c>
      <c r="U123" s="249">
        <f t="shared" si="3"/>
        <v>159.72423667459435</v>
      </c>
      <c r="V123" s="396">
        <f t="shared" si="10"/>
        <v>387.90171763830057</v>
      </c>
      <c r="W123" s="67" t="s">
        <v>74</v>
      </c>
      <c r="X123" s="59"/>
      <c r="Y123" s="59">
        <v>30</v>
      </c>
      <c r="Z123" s="94">
        <f t="shared" si="4"/>
        <v>53.685257645745082</v>
      </c>
      <c r="AA123" s="94">
        <f t="shared" si="5"/>
        <v>304.21645999255549</v>
      </c>
      <c r="AB123" s="94">
        <f t="shared" si="11"/>
        <v>387.90171763830057</v>
      </c>
      <c r="AC123" s="73" t="s">
        <v>74</v>
      </c>
    </row>
    <row r="124" spans="1:29" ht="16" thickTop="1">
      <c r="A124" s="75">
        <v>31</v>
      </c>
      <c r="B124" s="76">
        <v>2051</v>
      </c>
      <c r="C124" s="77">
        <f t="shared" si="14"/>
        <v>757.54617036289926</v>
      </c>
      <c r="E124" s="19">
        <f t="shared" si="6"/>
        <v>545.43324266128741</v>
      </c>
      <c r="F124" s="19">
        <f t="shared" si="7"/>
        <v>159.08469577620883</v>
      </c>
      <c r="G124" s="395">
        <f t="shared" si="8"/>
        <v>386.34854688507858</v>
      </c>
      <c r="H124" s="66">
        <f>SUM(G94:G123)/1000</f>
        <v>9.5231212819960405</v>
      </c>
      <c r="J124">
        <v>30</v>
      </c>
      <c r="K124" s="63">
        <f t="shared" si="0"/>
        <v>53.452282032761786</v>
      </c>
      <c r="L124" s="63">
        <f t="shared" si="1"/>
        <v>302.89626485231679</v>
      </c>
      <c r="M124" s="63">
        <f t="shared" si="9"/>
        <v>386.34854688507858</v>
      </c>
      <c r="N124" s="66">
        <f>SUM(L94:L123)/1000</f>
        <v>7.3296530896966363</v>
      </c>
      <c r="P124" s="75">
        <v>31</v>
      </c>
      <c r="Q124" s="76">
        <v>2051</v>
      </c>
      <c r="R124" s="77">
        <f t="shared" si="15"/>
        <v>766.67633603805302</v>
      </c>
      <c r="T124" s="19">
        <f t="shared" si="2"/>
        <v>552.00696194739817</v>
      </c>
      <c r="U124" s="19">
        <f t="shared" si="3"/>
        <v>161.00203056799114</v>
      </c>
      <c r="V124" s="395">
        <f t="shared" si="10"/>
        <v>391.00493137940703</v>
      </c>
      <c r="W124" s="66">
        <f>SUM(V94:V123)/1000</f>
        <v>9.6315875876400927</v>
      </c>
      <c r="Y124">
        <v>30</v>
      </c>
      <c r="Z124" s="63">
        <f t="shared" si="4"/>
        <v>54.150739706911054</v>
      </c>
      <c r="AA124" s="63">
        <f t="shared" si="5"/>
        <v>306.85419167249597</v>
      </c>
      <c r="AB124" s="63">
        <f t="shared" si="11"/>
        <v>391.00493137940703</v>
      </c>
      <c r="AC124" s="66">
        <f>SUM(AA94:AA123)/1000</f>
        <v>7.4218494494940792</v>
      </c>
    </row>
    <row r="125" spans="1:29">
      <c r="A125" s="75">
        <v>32</v>
      </c>
      <c r="B125" s="76">
        <v>2052</v>
      </c>
      <c r="C125" s="77">
        <f t="shared" si="14"/>
        <v>763.60653972580246</v>
      </c>
      <c r="E125" s="19">
        <f t="shared" si="6"/>
        <v>549.79670860257772</v>
      </c>
      <c r="F125" s="19">
        <f t="shared" si="7"/>
        <v>160.3573733424185</v>
      </c>
      <c r="G125" s="395">
        <f t="shared" si="8"/>
        <v>389.43933526015923</v>
      </c>
      <c r="J125">
        <v>30</v>
      </c>
      <c r="K125" s="63">
        <f t="shared" si="0"/>
        <v>53.915900289023881</v>
      </c>
      <c r="L125" s="63">
        <f t="shared" si="1"/>
        <v>305.52343497113532</v>
      </c>
      <c r="M125" s="63">
        <f t="shared" si="9"/>
        <v>389.43933526015917</v>
      </c>
      <c r="P125" s="75">
        <v>32</v>
      </c>
      <c r="Q125" s="76">
        <v>2052</v>
      </c>
      <c r="R125" s="77">
        <f t="shared" si="15"/>
        <v>772.8097467263575</v>
      </c>
      <c r="T125" s="19">
        <f t="shared" si="2"/>
        <v>556.42301764297736</v>
      </c>
      <c r="U125" s="19">
        <f t="shared" si="3"/>
        <v>162.29004681253508</v>
      </c>
      <c r="V125" s="395">
        <f t="shared" si="10"/>
        <v>394.13297083044228</v>
      </c>
      <c r="Y125">
        <v>30</v>
      </c>
      <c r="Z125" s="63">
        <f t="shared" si="4"/>
        <v>54.619945624566341</v>
      </c>
      <c r="AA125" s="63">
        <f t="shared" si="5"/>
        <v>309.51302520587592</v>
      </c>
      <c r="AB125" s="63">
        <f t="shared" si="11"/>
        <v>394.13297083044228</v>
      </c>
    </row>
    <row r="126" spans="1:29">
      <c r="A126" s="75">
        <v>33</v>
      </c>
      <c r="B126" s="76">
        <v>2053</v>
      </c>
      <c r="C126" s="77">
        <f t="shared" si="14"/>
        <v>769.71539204360886</v>
      </c>
      <c r="E126" s="19">
        <f t="shared" si="6"/>
        <v>554.19508227139841</v>
      </c>
      <c r="F126" s="19">
        <f t="shared" si="7"/>
        <v>161.64023232915787</v>
      </c>
      <c r="G126" s="395">
        <f t="shared" si="8"/>
        <v>392.55484994224054</v>
      </c>
      <c r="J126">
        <v>30</v>
      </c>
      <c r="K126" s="63">
        <f t="shared" ref="K126:K157" si="16">(G126-J126)*0.15</f>
        <v>54.383227491336079</v>
      </c>
      <c r="L126" s="63">
        <f t="shared" ref="L126:L157" si="17">(G126-J126)*0.85</f>
        <v>308.17162245090447</v>
      </c>
      <c r="M126" s="63">
        <f t="shared" si="9"/>
        <v>392.55484994224054</v>
      </c>
      <c r="P126" s="75">
        <v>33</v>
      </c>
      <c r="Q126" s="76">
        <v>2053</v>
      </c>
      <c r="R126" s="77">
        <f t="shared" si="15"/>
        <v>778.99222470016832</v>
      </c>
      <c r="T126" s="19">
        <f t="shared" ref="T126:T157" si="18">R126*0.72</f>
        <v>560.87440178412112</v>
      </c>
      <c r="U126" s="19">
        <f t="shared" ref="U126:U157" si="19">R126*0.21</f>
        <v>163.58836718703535</v>
      </c>
      <c r="V126" s="395">
        <f t="shared" si="10"/>
        <v>397.28603459708575</v>
      </c>
      <c r="Y126">
        <v>30</v>
      </c>
      <c r="Z126" s="63">
        <f t="shared" ref="Z126:Z157" si="20">(V126-Y126)*0.15</f>
        <v>55.092905189562863</v>
      </c>
      <c r="AA126" s="63">
        <f t="shared" ref="AA126:AA157" si="21">(V126-Y126)*0.85</f>
        <v>312.19312940752286</v>
      </c>
      <c r="AB126" s="63">
        <f t="shared" si="11"/>
        <v>397.28603459708575</v>
      </c>
    </row>
    <row r="127" spans="1:29">
      <c r="A127" s="75">
        <v>34</v>
      </c>
      <c r="B127" s="76">
        <v>2054</v>
      </c>
      <c r="C127" s="77">
        <f t="shared" si="14"/>
        <v>775.87311517995772</v>
      </c>
      <c r="E127" s="19">
        <f t="shared" si="6"/>
        <v>558.62864292956954</v>
      </c>
      <c r="F127" s="19">
        <f t="shared" si="7"/>
        <v>162.93335418779111</v>
      </c>
      <c r="G127" s="395">
        <f t="shared" si="8"/>
        <v>395.69528874177843</v>
      </c>
      <c r="J127">
        <v>30</v>
      </c>
      <c r="K127" s="63">
        <f t="shared" si="16"/>
        <v>54.854293311266765</v>
      </c>
      <c r="L127" s="63">
        <f t="shared" si="17"/>
        <v>310.84099543051167</v>
      </c>
      <c r="M127" s="63">
        <f t="shared" si="9"/>
        <v>395.69528874177843</v>
      </c>
      <c r="P127" s="75">
        <v>34</v>
      </c>
      <c r="Q127" s="76">
        <v>2054</v>
      </c>
      <c r="R127" s="77">
        <f t="shared" si="15"/>
        <v>785.22416249776973</v>
      </c>
      <c r="T127" s="19">
        <f t="shared" si="18"/>
        <v>565.36139699839418</v>
      </c>
      <c r="U127" s="19">
        <f t="shared" si="19"/>
        <v>164.89707412453163</v>
      </c>
      <c r="V127" s="395">
        <f t="shared" si="10"/>
        <v>400.46432287386256</v>
      </c>
      <c r="Y127">
        <v>30</v>
      </c>
      <c r="Z127" s="63">
        <f t="shared" si="20"/>
        <v>55.569648431079379</v>
      </c>
      <c r="AA127" s="63">
        <f t="shared" si="21"/>
        <v>314.89467444278318</v>
      </c>
      <c r="AB127" s="63">
        <f t="shared" si="11"/>
        <v>400.46432287386256</v>
      </c>
    </row>
    <row r="128" spans="1:29">
      <c r="A128" s="75">
        <v>35</v>
      </c>
      <c r="B128" s="76">
        <v>2055</v>
      </c>
      <c r="C128" s="77">
        <f t="shared" si="14"/>
        <v>782.08010010139742</v>
      </c>
      <c r="E128" s="19">
        <f t="shared" si="6"/>
        <v>563.09767207300615</v>
      </c>
      <c r="F128" s="19">
        <f t="shared" si="7"/>
        <v>164.23682102129345</v>
      </c>
      <c r="G128" s="395">
        <f t="shared" si="8"/>
        <v>398.8608510517127</v>
      </c>
      <c r="J128">
        <v>30</v>
      </c>
      <c r="K128" s="63">
        <f t="shared" si="16"/>
        <v>55.329127657756906</v>
      </c>
      <c r="L128" s="63">
        <f t="shared" si="17"/>
        <v>313.53172339395582</v>
      </c>
      <c r="M128" s="63">
        <f t="shared" si="9"/>
        <v>398.86085105171276</v>
      </c>
      <c r="P128" s="75">
        <v>35</v>
      </c>
      <c r="Q128" s="76">
        <v>2055</v>
      </c>
      <c r="R128" s="77">
        <f t="shared" si="15"/>
        <v>791.50595579775188</v>
      </c>
      <c r="T128" s="19">
        <f t="shared" si="18"/>
        <v>569.88428817438137</v>
      </c>
      <c r="U128" s="19">
        <f t="shared" si="19"/>
        <v>166.21625071752788</v>
      </c>
      <c r="V128" s="395">
        <f t="shared" si="10"/>
        <v>403.66803745685348</v>
      </c>
      <c r="Y128">
        <v>30</v>
      </c>
      <c r="Z128" s="63">
        <f t="shared" si="20"/>
        <v>56.050205618528018</v>
      </c>
      <c r="AA128" s="63">
        <f t="shared" si="21"/>
        <v>317.61783183832546</v>
      </c>
      <c r="AB128" s="63">
        <f t="shared" si="11"/>
        <v>403.66803745685348</v>
      </c>
    </row>
    <row r="129" spans="1:28">
      <c r="A129" s="75">
        <v>36</v>
      </c>
      <c r="B129" s="76">
        <v>2056</v>
      </c>
      <c r="C129" s="77">
        <f t="shared" si="14"/>
        <v>788.33674090220859</v>
      </c>
      <c r="E129" s="19">
        <f t="shared" si="6"/>
        <v>567.60245344959014</v>
      </c>
      <c r="F129" s="19">
        <f t="shared" si="7"/>
        <v>165.55071558946381</v>
      </c>
      <c r="G129" s="395">
        <f t="shared" si="8"/>
        <v>402.05173786012631</v>
      </c>
      <c r="J129">
        <v>30</v>
      </c>
      <c r="K129" s="63">
        <f t="shared" si="16"/>
        <v>55.807760679018948</v>
      </c>
      <c r="L129" s="63">
        <f t="shared" si="17"/>
        <v>316.24397718110737</v>
      </c>
      <c r="M129" s="63">
        <f t="shared" si="9"/>
        <v>402.05173786012631</v>
      </c>
      <c r="P129" s="75">
        <v>36</v>
      </c>
      <c r="Q129" s="76">
        <v>2056</v>
      </c>
      <c r="R129" s="77">
        <f t="shared" si="15"/>
        <v>797.83800344413385</v>
      </c>
      <c r="T129" s="19">
        <f t="shared" si="18"/>
        <v>574.4433624797764</v>
      </c>
      <c r="U129" s="19">
        <f t="shared" si="19"/>
        <v>167.54598072326812</v>
      </c>
      <c r="V129" s="395">
        <f t="shared" si="10"/>
        <v>406.89738175650825</v>
      </c>
      <c r="Y129">
        <v>30</v>
      </c>
      <c r="Z129" s="63">
        <f t="shared" si="20"/>
        <v>56.534607263476239</v>
      </c>
      <c r="AA129" s="63">
        <f t="shared" si="21"/>
        <v>320.36277449303202</v>
      </c>
      <c r="AB129" s="63">
        <f t="shared" si="11"/>
        <v>406.89738175650825</v>
      </c>
    </row>
    <row r="130" spans="1:28">
      <c r="A130" s="75">
        <v>37</v>
      </c>
      <c r="B130" s="76">
        <v>2057</v>
      </c>
      <c r="C130" s="77">
        <f t="shared" si="14"/>
        <v>794.64343482942627</v>
      </c>
      <c r="E130" s="19">
        <f t="shared" si="6"/>
        <v>572.1432730771869</v>
      </c>
      <c r="F130" s="19">
        <f t="shared" si="7"/>
        <v>166.87512131417952</v>
      </c>
      <c r="G130" s="395">
        <f t="shared" si="8"/>
        <v>405.26815176300738</v>
      </c>
      <c r="J130">
        <v>30</v>
      </c>
      <c r="K130" s="63">
        <f t="shared" si="16"/>
        <v>56.290222764451109</v>
      </c>
      <c r="L130" s="63">
        <f t="shared" si="17"/>
        <v>318.97792899855625</v>
      </c>
      <c r="M130" s="63">
        <f t="shared" si="9"/>
        <v>405.26815176300738</v>
      </c>
      <c r="P130" s="75">
        <v>37</v>
      </c>
      <c r="Q130" s="76">
        <v>2057</v>
      </c>
      <c r="R130" s="77">
        <f t="shared" si="15"/>
        <v>804.22070747168698</v>
      </c>
      <c r="T130" s="19">
        <f t="shared" si="18"/>
        <v>579.03890937961455</v>
      </c>
      <c r="U130" s="19">
        <f t="shared" si="19"/>
        <v>168.88634856905426</v>
      </c>
      <c r="V130" s="395">
        <f t="shared" si="10"/>
        <v>410.15256081056032</v>
      </c>
      <c r="Y130">
        <v>30</v>
      </c>
      <c r="Z130" s="63">
        <f t="shared" si="20"/>
        <v>57.022884121584049</v>
      </c>
      <c r="AA130" s="63">
        <f t="shared" si="21"/>
        <v>323.12967668897625</v>
      </c>
      <c r="AB130" s="63">
        <f t="shared" si="11"/>
        <v>410.15256081056032</v>
      </c>
    </row>
    <row r="131" spans="1:28">
      <c r="A131" s="75">
        <v>38</v>
      </c>
      <c r="B131" s="76">
        <v>2058</v>
      </c>
      <c r="C131" s="77">
        <f t="shared" si="14"/>
        <v>801.00058230806167</v>
      </c>
      <c r="E131" s="19">
        <f t="shared" si="6"/>
        <v>576.72041926180441</v>
      </c>
      <c r="F131" s="19">
        <f t="shared" si="7"/>
        <v>168.21012228469294</v>
      </c>
      <c r="G131" s="395">
        <f t="shared" si="8"/>
        <v>408.51029697711147</v>
      </c>
      <c r="J131">
        <v>30</v>
      </c>
      <c r="K131" s="63">
        <f t="shared" si="16"/>
        <v>56.776544546566718</v>
      </c>
      <c r="L131" s="63">
        <f t="shared" si="17"/>
        <v>321.73375243054471</v>
      </c>
      <c r="M131" s="63">
        <f t="shared" si="9"/>
        <v>408.51029697711147</v>
      </c>
      <c r="P131" s="75">
        <v>38</v>
      </c>
      <c r="Q131" s="76">
        <v>2058</v>
      </c>
      <c r="R131" s="77">
        <f t="shared" si="15"/>
        <v>810.65447313146046</v>
      </c>
      <c r="T131" s="19">
        <f t="shared" si="18"/>
        <v>583.67122065465151</v>
      </c>
      <c r="U131" s="19">
        <f t="shared" si="19"/>
        <v>170.23743935760669</v>
      </c>
      <c r="V131" s="395">
        <f t="shared" si="10"/>
        <v>413.43378129704479</v>
      </c>
      <c r="Y131">
        <v>30</v>
      </c>
      <c r="Z131" s="63">
        <f t="shared" si="20"/>
        <v>57.515067194556714</v>
      </c>
      <c r="AA131" s="63">
        <f t="shared" si="21"/>
        <v>325.91871410248808</v>
      </c>
      <c r="AB131" s="63">
        <f t="shared" si="11"/>
        <v>413.43378129704479</v>
      </c>
    </row>
    <row r="132" spans="1:28">
      <c r="A132" s="75">
        <v>39</v>
      </c>
      <c r="B132" s="76">
        <v>2059</v>
      </c>
      <c r="C132" s="77">
        <f t="shared" si="14"/>
        <v>807.40858696652617</v>
      </c>
      <c r="E132" s="19">
        <f t="shared" si="6"/>
        <v>581.33418261589884</v>
      </c>
      <c r="F132" s="19">
        <f t="shared" si="7"/>
        <v>169.5558032629705</v>
      </c>
      <c r="G132" s="395">
        <f t="shared" si="8"/>
        <v>411.77837935292837</v>
      </c>
      <c r="J132">
        <v>30</v>
      </c>
      <c r="K132" s="63">
        <f t="shared" si="16"/>
        <v>57.266756902939257</v>
      </c>
      <c r="L132" s="63">
        <f t="shared" si="17"/>
        <v>324.51162244998909</v>
      </c>
      <c r="M132" s="63">
        <f t="shared" si="9"/>
        <v>411.77837935292837</v>
      </c>
      <c r="P132" s="75">
        <v>39</v>
      </c>
      <c r="Q132" s="76">
        <v>2059</v>
      </c>
      <c r="R132" s="77">
        <f t="shared" si="15"/>
        <v>817.13970891651218</v>
      </c>
      <c r="T132" s="19">
        <f t="shared" si="18"/>
        <v>588.34059041988871</v>
      </c>
      <c r="U132" s="19">
        <f t="shared" si="19"/>
        <v>171.59933887246754</v>
      </c>
      <c r="V132" s="395">
        <f t="shared" si="10"/>
        <v>416.74125154742114</v>
      </c>
      <c r="Y132">
        <v>30</v>
      </c>
      <c r="Z132" s="63">
        <f t="shared" si="20"/>
        <v>58.011187732113171</v>
      </c>
      <c r="AA132" s="63">
        <f t="shared" si="21"/>
        <v>328.73006381530797</v>
      </c>
      <c r="AB132" s="63">
        <f t="shared" si="11"/>
        <v>416.74125154742114</v>
      </c>
    </row>
    <row r="133" spans="1:28">
      <c r="A133" s="75">
        <v>40</v>
      </c>
      <c r="B133" s="76">
        <v>2060</v>
      </c>
      <c r="C133" s="77">
        <f t="shared" si="14"/>
        <v>813.86785566225842</v>
      </c>
      <c r="E133" s="19">
        <f t="shared" si="6"/>
        <v>585.98485607682608</v>
      </c>
      <c r="F133" s="19">
        <f t="shared" si="7"/>
        <v>170.91224968907426</v>
      </c>
      <c r="G133" s="395">
        <f t="shared" si="8"/>
        <v>415.07260638775182</v>
      </c>
      <c r="J133">
        <v>30</v>
      </c>
      <c r="K133" s="63">
        <f t="shared" si="16"/>
        <v>57.760890958162769</v>
      </c>
      <c r="L133" s="63">
        <f t="shared" si="17"/>
        <v>327.31171542958901</v>
      </c>
      <c r="M133" s="63">
        <f t="shared" si="9"/>
        <v>415.07260638775176</v>
      </c>
      <c r="P133" s="75">
        <v>40</v>
      </c>
      <c r="Q133" s="76">
        <v>2060</v>
      </c>
      <c r="R133" s="77">
        <f t="shared" si="15"/>
        <v>823.67682658784429</v>
      </c>
      <c r="T133" s="19">
        <f t="shared" si="18"/>
        <v>593.04731514324783</v>
      </c>
      <c r="U133" s="19">
        <f t="shared" si="19"/>
        <v>172.97213358344729</v>
      </c>
      <c r="V133" s="395">
        <f t="shared" si="10"/>
        <v>420.07518155980051</v>
      </c>
      <c r="Y133">
        <v>30</v>
      </c>
      <c r="Z133" s="63">
        <f t="shared" si="20"/>
        <v>58.511277233970077</v>
      </c>
      <c r="AA133" s="63">
        <f t="shared" si="21"/>
        <v>331.56390432583044</v>
      </c>
      <c r="AB133" s="63">
        <f t="shared" si="11"/>
        <v>420.07518155980051</v>
      </c>
    </row>
    <row r="134" spans="1:28">
      <c r="A134" s="75">
        <v>41</v>
      </c>
      <c r="B134" s="76">
        <v>2061</v>
      </c>
      <c r="C134" s="77">
        <f t="shared" si="14"/>
        <v>820.37879850755644</v>
      </c>
      <c r="E134" s="19">
        <f t="shared" si="6"/>
        <v>590.67273492544064</v>
      </c>
      <c r="F134" s="19">
        <f t="shared" si="7"/>
        <v>172.27954768658685</v>
      </c>
      <c r="G134" s="395">
        <f t="shared" si="8"/>
        <v>418.39318723885378</v>
      </c>
      <c r="J134">
        <v>30</v>
      </c>
      <c r="K134" s="63">
        <f t="shared" si="16"/>
        <v>58.258978085828062</v>
      </c>
      <c r="L134" s="63">
        <f t="shared" si="17"/>
        <v>330.13420915302572</v>
      </c>
      <c r="M134" s="63">
        <f t="shared" si="9"/>
        <v>418.39318723885378</v>
      </c>
      <c r="P134" s="75">
        <v>41</v>
      </c>
      <c r="Q134" s="76">
        <v>2061</v>
      </c>
      <c r="R134" s="77">
        <f t="shared" si="15"/>
        <v>830.26624120054703</v>
      </c>
      <c r="T134" s="19">
        <f t="shared" si="18"/>
        <v>597.79169366439385</v>
      </c>
      <c r="U134" s="19">
        <f t="shared" si="19"/>
        <v>174.35591065211486</v>
      </c>
      <c r="V134" s="395">
        <f t="shared" si="10"/>
        <v>423.43578301227899</v>
      </c>
      <c r="Y134">
        <v>30</v>
      </c>
      <c r="Z134" s="63">
        <f t="shared" si="20"/>
        <v>59.015367451841847</v>
      </c>
      <c r="AA134" s="63">
        <f t="shared" si="21"/>
        <v>334.42041556043711</v>
      </c>
      <c r="AB134" s="63">
        <f t="shared" si="11"/>
        <v>423.43578301227899</v>
      </c>
    </row>
    <row r="135" spans="1:28">
      <c r="A135" s="75">
        <v>42</v>
      </c>
      <c r="B135" s="76">
        <v>2062</v>
      </c>
      <c r="C135" s="77">
        <f t="shared" si="14"/>
        <v>826.94182889561694</v>
      </c>
      <c r="E135" s="19">
        <f t="shared" si="6"/>
        <v>595.39811680484422</v>
      </c>
      <c r="F135" s="19">
        <f t="shared" si="7"/>
        <v>173.65778406807954</v>
      </c>
      <c r="G135" s="395">
        <f t="shared" si="8"/>
        <v>421.74033273676469</v>
      </c>
      <c r="J135">
        <v>30</v>
      </c>
      <c r="K135" s="63">
        <f t="shared" si="16"/>
        <v>58.7610499105147</v>
      </c>
      <c r="L135" s="63">
        <f t="shared" si="17"/>
        <v>332.97928282624997</v>
      </c>
      <c r="M135" s="63">
        <f t="shared" si="9"/>
        <v>421.74033273676469</v>
      </c>
      <c r="P135" s="75">
        <v>42</v>
      </c>
      <c r="Q135" s="76">
        <v>2062</v>
      </c>
      <c r="R135" s="77">
        <f t="shared" si="15"/>
        <v>836.90837113015141</v>
      </c>
      <c r="T135" s="19">
        <f t="shared" si="18"/>
        <v>602.57402721370897</v>
      </c>
      <c r="U135" s="19">
        <f t="shared" si="19"/>
        <v>175.7507579373318</v>
      </c>
      <c r="V135" s="395">
        <f t="shared" si="10"/>
        <v>426.82326927637718</v>
      </c>
      <c r="Y135">
        <v>30</v>
      </c>
      <c r="Z135" s="63">
        <f t="shared" si="20"/>
        <v>59.523490391456576</v>
      </c>
      <c r="AA135" s="63">
        <f t="shared" si="21"/>
        <v>337.29977888492061</v>
      </c>
      <c r="AB135" s="63">
        <f t="shared" si="11"/>
        <v>426.82326927637718</v>
      </c>
    </row>
    <row r="136" spans="1:28">
      <c r="A136" s="75">
        <v>43</v>
      </c>
      <c r="B136" s="76">
        <v>2063</v>
      </c>
      <c r="C136" s="77">
        <f t="shared" si="14"/>
        <v>833.55736352678184</v>
      </c>
      <c r="E136" s="19">
        <f t="shared" si="6"/>
        <v>600.16130173928286</v>
      </c>
      <c r="F136" s="19">
        <f t="shared" si="7"/>
        <v>175.04704634062418</v>
      </c>
      <c r="G136" s="395">
        <f t="shared" si="8"/>
        <v>425.11425539865866</v>
      </c>
      <c r="J136">
        <v>30</v>
      </c>
      <c r="K136" s="63">
        <f t="shared" si="16"/>
        <v>59.267138309798796</v>
      </c>
      <c r="L136" s="63">
        <f t="shared" si="17"/>
        <v>335.84711708885987</v>
      </c>
      <c r="M136" s="63">
        <f t="shared" si="9"/>
        <v>425.11425539865866</v>
      </c>
      <c r="P136" s="75">
        <v>43</v>
      </c>
      <c r="Q136" s="76">
        <v>2063</v>
      </c>
      <c r="R136" s="77">
        <f t="shared" si="15"/>
        <v>843.60363809919261</v>
      </c>
      <c r="T136" s="19">
        <f t="shared" si="18"/>
        <v>607.39461943141862</v>
      </c>
      <c r="U136" s="19">
        <f t="shared" si="19"/>
        <v>177.15676400083044</v>
      </c>
      <c r="V136" s="395">
        <f t="shared" si="10"/>
        <v>430.23785543058818</v>
      </c>
      <c r="Y136">
        <v>30</v>
      </c>
      <c r="Z136" s="63">
        <f t="shared" si="20"/>
        <v>60.035678314588225</v>
      </c>
      <c r="AA136" s="63">
        <f t="shared" si="21"/>
        <v>340.20217711599997</v>
      </c>
      <c r="AB136" s="63">
        <f t="shared" si="11"/>
        <v>430.23785543058818</v>
      </c>
    </row>
    <row r="137" spans="1:28">
      <c r="A137" s="75">
        <v>44</v>
      </c>
      <c r="B137" s="76">
        <v>2064</v>
      </c>
      <c r="C137" s="77">
        <f t="shared" si="14"/>
        <v>840.22582243499608</v>
      </c>
      <c r="E137" s="19">
        <f t="shared" si="6"/>
        <v>604.96259215319719</v>
      </c>
      <c r="F137" s="19">
        <f t="shared" si="7"/>
        <v>176.44742271134916</v>
      </c>
      <c r="G137" s="395">
        <f t="shared" si="8"/>
        <v>428.515169441848</v>
      </c>
      <c r="J137">
        <v>30</v>
      </c>
      <c r="K137" s="63">
        <f t="shared" si="16"/>
        <v>59.777275416277199</v>
      </c>
      <c r="L137" s="63">
        <f t="shared" si="17"/>
        <v>338.73789402557077</v>
      </c>
      <c r="M137" s="63">
        <f t="shared" si="9"/>
        <v>428.515169441848</v>
      </c>
      <c r="P137" s="75">
        <v>44</v>
      </c>
      <c r="Q137" s="76">
        <v>2064</v>
      </c>
      <c r="R137" s="77">
        <f t="shared" si="15"/>
        <v>850.35246720398618</v>
      </c>
      <c r="T137" s="19">
        <f t="shared" si="18"/>
        <v>612.25377638687007</v>
      </c>
      <c r="U137" s="19">
        <f t="shared" si="19"/>
        <v>178.57401811283708</v>
      </c>
      <c r="V137" s="395">
        <f t="shared" si="10"/>
        <v>433.67975827403302</v>
      </c>
      <c r="Y137">
        <v>30</v>
      </c>
      <c r="Z137" s="63">
        <f t="shared" si="20"/>
        <v>60.551963741104949</v>
      </c>
      <c r="AA137" s="63">
        <f t="shared" si="21"/>
        <v>343.12779453292808</v>
      </c>
      <c r="AB137" s="63">
        <f t="shared" si="11"/>
        <v>433.67975827403302</v>
      </c>
    </row>
    <row r="138" spans="1:28">
      <c r="A138" s="75">
        <v>45</v>
      </c>
      <c r="B138" s="76">
        <v>2065</v>
      </c>
      <c r="C138" s="77">
        <f t="shared" si="14"/>
        <v>846.94762901447609</v>
      </c>
      <c r="E138" s="19">
        <f t="shared" si="6"/>
        <v>609.80229289042279</v>
      </c>
      <c r="F138" s="19">
        <f t="shared" si="7"/>
        <v>177.85900209303998</v>
      </c>
      <c r="G138" s="395">
        <f t="shared" si="8"/>
        <v>431.94329079738282</v>
      </c>
      <c r="J138">
        <v>30</v>
      </c>
      <c r="K138" s="63">
        <f t="shared" si="16"/>
        <v>60.291493619607422</v>
      </c>
      <c r="L138" s="63">
        <f t="shared" si="17"/>
        <v>341.65179717777539</v>
      </c>
      <c r="M138" s="63">
        <f t="shared" si="9"/>
        <v>431.94329079738282</v>
      </c>
      <c r="P138" s="75">
        <v>45</v>
      </c>
      <c r="Q138" s="76">
        <v>2065</v>
      </c>
      <c r="R138" s="77">
        <f t="shared" si="15"/>
        <v>857.1552869416181</v>
      </c>
      <c r="T138" s="19">
        <f t="shared" si="18"/>
        <v>617.15180659796499</v>
      </c>
      <c r="U138" s="19">
        <f t="shared" si="19"/>
        <v>180.0026102577398</v>
      </c>
      <c r="V138" s="395">
        <f t="shared" si="10"/>
        <v>437.14919634022522</v>
      </c>
      <c r="Y138">
        <v>30</v>
      </c>
      <c r="Z138" s="63">
        <f t="shared" si="20"/>
        <v>61.072379451033783</v>
      </c>
      <c r="AA138" s="63">
        <f t="shared" si="21"/>
        <v>346.07681688919143</v>
      </c>
      <c r="AB138" s="63">
        <f t="shared" si="11"/>
        <v>437.14919634022522</v>
      </c>
    </row>
    <row r="139" spans="1:28">
      <c r="A139" s="75">
        <v>46</v>
      </c>
      <c r="B139" s="76">
        <v>2066</v>
      </c>
      <c r="C139" s="77">
        <f t="shared" si="14"/>
        <v>853.72321004659193</v>
      </c>
      <c r="E139" s="19">
        <f t="shared" si="6"/>
        <v>614.68071123354616</v>
      </c>
      <c r="F139" s="19">
        <f t="shared" si="7"/>
        <v>179.2818741097843</v>
      </c>
      <c r="G139" s="395">
        <f t="shared" si="8"/>
        <v>435.39883712376184</v>
      </c>
      <c r="J139">
        <v>30</v>
      </c>
      <c r="K139" s="63">
        <f t="shared" si="16"/>
        <v>60.809825568564271</v>
      </c>
      <c r="L139" s="63">
        <f t="shared" si="17"/>
        <v>344.58901155519754</v>
      </c>
      <c r="M139" s="63">
        <f t="shared" si="9"/>
        <v>435.39883712376184</v>
      </c>
      <c r="P139" s="75">
        <v>46</v>
      </c>
      <c r="Q139" s="76">
        <v>2066</v>
      </c>
      <c r="R139" s="77">
        <f t="shared" si="15"/>
        <v>864.01252923715106</v>
      </c>
      <c r="T139" s="19">
        <f t="shared" si="18"/>
        <v>622.08902105074878</v>
      </c>
      <c r="U139" s="19">
        <f t="shared" si="19"/>
        <v>181.4426311398017</v>
      </c>
      <c r="V139" s="395">
        <f t="shared" si="10"/>
        <v>440.64638991094705</v>
      </c>
      <c r="Y139">
        <v>30</v>
      </c>
      <c r="Z139" s="63">
        <f t="shared" si="20"/>
        <v>61.596958486642052</v>
      </c>
      <c r="AA139" s="63">
        <f t="shared" si="21"/>
        <v>349.049431424305</v>
      </c>
      <c r="AB139" s="63">
        <f t="shared" si="11"/>
        <v>440.64638991094705</v>
      </c>
    </row>
    <row r="140" spans="1:28">
      <c r="A140" s="75">
        <v>47</v>
      </c>
      <c r="B140" s="76">
        <v>2067</v>
      </c>
      <c r="C140" s="77">
        <f t="shared" si="14"/>
        <v>860.5529957269647</v>
      </c>
      <c r="E140" s="19">
        <f t="shared" si="6"/>
        <v>619.59815692341454</v>
      </c>
      <c r="F140" s="19">
        <f t="shared" si="7"/>
        <v>180.71612910266259</v>
      </c>
      <c r="G140" s="395">
        <f t="shared" si="8"/>
        <v>438.88202782075194</v>
      </c>
      <c r="J140">
        <v>30</v>
      </c>
      <c r="K140" s="63">
        <f t="shared" si="16"/>
        <v>61.332304173112789</v>
      </c>
      <c r="L140" s="63">
        <f t="shared" si="17"/>
        <v>347.54972364763915</v>
      </c>
      <c r="M140" s="63">
        <f t="shared" si="9"/>
        <v>438.88202782075194</v>
      </c>
      <c r="P140" s="75">
        <v>47</v>
      </c>
      <c r="Q140" s="76">
        <v>2067</v>
      </c>
      <c r="R140" s="77">
        <f t="shared" si="15"/>
        <v>870.92462947104832</v>
      </c>
      <c r="T140" s="19">
        <f t="shared" si="18"/>
        <v>627.06573321915482</v>
      </c>
      <c r="U140" s="19">
        <f t="shared" si="19"/>
        <v>182.89417218892015</v>
      </c>
      <c r="V140" s="395">
        <f t="shared" si="10"/>
        <v>444.17156103023467</v>
      </c>
      <c r="Y140">
        <v>30</v>
      </c>
      <c r="Z140" s="63">
        <f t="shared" si="20"/>
        <v>62.125734154535195</v>
      </c>
      <c r="AA140" s="63">
        <f t="shared" si="21"/>
        <v>352.04582687569945</v>
      </c>
      <c r="AB140" s="63">
        <f t="shared" si="11"/>
        <v>444.17156103023467</v>
      </c>
    </row>
    <row r="141" spans="1:28">
      <c r="A141" s="75">
        <v>48</v>
      </c>
      <c r="B141" s="76">
        <v>2068</v>
      </c>
      <c r="C141" s="77">
        <f t="shared" si="14"/>
        <v>867.4374196927804</v>
      </c>
      <c r="E141" s="19">
        <f t="shared" si="6"/>
        <v>624.55494217880187</v>
      </c>
      <c r="F141" s="19">
        <f t="shared" si="7"/>
        <v>182.16185813548387</v>
      </c>
      <c r="G141" s="395">
        <f t="shared" si="8"/>
        <v>442.39308404331803</v>
      </c>
      <c r="J141">
        <v>30</v>
      </c>
      <c r="K141" s="63">
        <f t="shared" si="16"/>
        <v>61.858962606497698</v>
      </c>
      <c r="L141" s="63">
        <f t="shared" si="17"/>
        <v>350.53412143682033</v>
      </c>
      <c r="M141" s="63">
        <f t="shared" si="9"/>
        <v>442.39308404331803</v>
      </c>
      <c r="P141" s="75">
        <v>48</v>
      </c>
      <c r="Q141" s="76">
        <v>2068</v>
      </c>
      <c r="R141" s="77">
        <f t="shared" si="15"/>
        <v>877.89202650681671</v>
      </c>
      <c r="T141" s="19">
        <f t="shared" si="18"/>
        <v>632.08225908490806</v>
      </c>
      <c r="U141" s="19">
        <f t="shared" si="19"/>
        <v>184.35732556643151</v>
      </c>
      <c r="V141" s="395">
        <f t="shared" si="10"/>
        <v>447.72493351847652</v>
      </c>
      <c r="Y141">
        <v>30</v>
      </c>
      <c r="Z141" s="63">
        <f t="shared" si="20"/>
        <v>62.658740027771472</v>
      </c>
      <c r="AA141" s="63">
        <f t="shared" si="21"/>
        <v>355.06619349070502</v>
      </c>
      <c r="AB141" s="63">
        <f t="shared" si="11"/>
        <v>447.72493351847652</v>
      </c>
    </row>
    <row r="142" spans="1:28">
      <c r="A142" s="75">
        <v>49</v>
      </c>
      <c r="B142" s="76">
        <v>2069</v>
      </c>
      <c r="C142" s="77">
        <f t="shared" si="14"/>
        <v>874.37691905032261</v>
      </c>
      <c r="E142" s="19">
        <f t="shared" si="6"/>
        <v>629.5513817162323</v>
      </c>
      <c r="F142" s="19">
        <f t="shared" si="7"/>
        <v>183.61915300056774</v>
      </c>
      <c r="G142" s="395">
        <f t="shared" si="8"/>
        <v>445.93222871566456</v>
      </c>
      <c r="J142">
        <v>30</v>
      </c>
      <c r="K142" s="63">
        <f t="shared" si="16"/>
        <v>62.38983430734968</v>
      </c>
      <c r="L142" s="63">
        <f t="shared" si="17"/>
        <v>353.54239440831486</v>
      </c>
      <c r="M142" s="63">
        <f t="shared" si="9"/>
        <v>445.93222871566456</v>
      </c>
      <c r="P142" s="75">
        <v>49</v>
      </c>
      <c r="Q142" s="76">
        <v>2069</v>
      </c>
      <c r="R142" s="77">
        <f t="shared" si="15"/>
        <v>884.91516271887122</v>
      </c>
      <c r="T142" s="19">
        <f t="shared" si="18"/>
        <v>637.13891715758723</v>
      </c>
      <c r="U142" s="19">
        <f t="shared" si="19"/>
        <v>185.83218417096296</v>
      </c>
      <c r="V142" s="395">
        <f t="shared" si="10"/>
        <v>451.3067329866243</v>
      </c>
      <c r="Y142">
        <v>30</v>
      </c>
      <c r="Z142" s="63">
        <f t="shared" si="20"/>
        <v>63.196009947993645</v>
      </c>
      <c r="AA142" s="63">
        <f t="shared" si="21"/>
        <v>358.11072303863062</v>
      </c>
      <c r="AB142" s="63">
        <f t="shared" si="11"/>
        <v>451.3067329866243</v>
      </c>
    </row>
    <row r="143" spans="1:28">
      <c r="A143" s="75">
        <v>50</v>
      </c>
      <c r="B143" s="76">
        <v>2070</v>
      </c>
      <c r="C143" s="77">
        <f t="shared" si="14"/>
        <v>881.37193440272517</v>
      </c>
      <c r="E143" s="19">
        <f t="shared" si="6"/>
        <v>634.58779276996211</v>
      </c>
      <c r="F143" s="19">
        <f t="shared" si="7"/>
        <v>185.08810622457227</v>
      </c>
      <c r="G143" s="395">
        <f t="shared" si="8"/>
        <v>449.49968654538986</v>
      </c>
      <c r="J143">
        <v>30</v>
      </c>
      <c r="K143" s="63">
        <f t="shared" si="16"/>
        <v>62.924952981808474</v>
      </c>
      <c r="L143" s="63">
        <f t="shared" si="17"/>
        <v>356.57473356358139</v>
      </c>
      <c r="M143" s="63">
        <f t="shared" si="9"/>
        <v>449.49968654538986</v>
      </c>
      <c r="P143" s="75">
        <v>50</v>
      </c>
      <c r="Q143" s="76">
        <v>2070</v>
      </c>
      <c r="R143" s="77">
        <f t="shared" si="15"/>
        <v>891.99448402062217</v>
      </c>
      <c r="T143" s="19">
        <f t="shared" si="18"/>
        <v>642.23602849484791</v>
      </c>
      <c r="U143" s="19">
        <f t="shared" si="19"/>
        <v>187.31884164433066</v>
      </c>
      <c r="V143" s="395">
        <f t="shared" si="10"/>
        <v>454.91718685051728</v>
      </c>
      <c r="Y143">
        <v>30</v>
      </c>
      <c r="Z143" s="63">
        <f t="shared" si="20"/>
        <v>63.737578027577591</v>
      </c>
      <c r="AA143" s="63">
        <f t="shared" si="21"/>
        <v>361.17960882293966</v>
      </c>
      <c r="AB143" s="63">
        <f t="shared" si="11"/>
        <v>454.91718685051728</v>
      </c>
    </row>
    <row r="144" spans="1:28">
      <c r="A144" s="75">
        <v>51</v>
      </c>
      <c r="B144" s="76">
        <v>2071</v>
      </c>
      <c r="C144" s="77">
        <f t="shared" si="14"/>
        <v>888.42290987794695</v>
      </c>
      <c r="E144" s="19">
        <f t="shared" si="6"/>
        <v>639.66449511212181</v>
      </c>
      <c r="F144" s="19">
        <f t="shared" si="7"/>
        <v>186.56881107436885</v>
      </c>
      <c r="G144" s="395">
        <f t="shared" si="8"/>
        <v>453.09568403775296</v>
      </c>
      <c r="J144">
        <v>30</v>
      </c>
      <c r="K144" s="63">
        <f t="shared" si="16"/>
        <v>63.464352605662938</v>
      </c>
      <c r="L144" s="63">
        <f t="shared" si="17"/>
        <v>359.63133143209001</v>
      </c>
      <c r="M144" s="63">
        <f t="shared" si="9"/>
        <v>453.09568403775296</v>
      </c>
      <c r="P144" s="75">
        <v>51</v>
      </c>
      <c r="Q144" s="76">
        <v>2071</v>
      </c>
      <c r="R144" s="77">
        <f t="shared" si="15"/>
        <v>899.13043989278719</v>
      </c>
      <c r="T144" s="19">
        <f t="shared" si="18"/>
        <v>647.37391672280671</v>
      </c>
      <c r="U144" s="19">
        <f t="shared" si="19"/>
        <v>188.81739237748531</v>
      </c>
      <c r="V144" s="395">
        <f t="shared" si="10"/>
        <v>458.55652434532141</v>
      </c>
      <c r="Y144">
        <v>30</v>
      </c>
      <c r="Z144" s="63">
        <f t="shared" si="20"/>
        <v>64.283478651798205</v>
      </c>
      <c r="AA144" s="63">
        <f t="shared" si="21"/>
        <v>364.27304569352316</v>
      </c>
      <c r="AB144" s="63">
        <f t="shared" si="11"/>
        <v>458.55652434532135</v>
      </c>
    </row>
    <row r="145" spans="1:28">
      <c r="A145" s="75">
        <v>52</v>
      </c>
      <c r="B145" s="76">
        <v>2072</v>
      </c>
      <c r="C145" s="77">
        <f t="shared" si="14"/>
        <v>895.53029315697052</v>
      </c>
      <c r="E145" s="19">
        <f t="shared" si="6"/>
        <v>644.78181107301873</v>
      </c>
      <c r="F145" s="19">
        <f t="shared" si="7"/>
        <v>188.06136156296381</v>
      </c>
      <c r="G145" s="395">
        <f t="shared" si="8"/>
        <v>456.72044951005489</v>
      </c>
      <c r="J145">
        <v>30</v>
      </c>
      <c r="K145" s="63">
        <f t="shared" si="16"/>
        <v>64.008067426508234</v>
      </c>
      <c r="L145" s="63">
        <f t="shared" si="17"/>
        <v>362.71238208354663</v>
      </c>
      <c r="M145" s="63">
        <f t="shared" si="9"/>
        <v>456.72044951005489</v>
      </c>
      <c r="P145" s="75">
        <v>52</v>
      </c>
      <c r="Q145" s="76">
        <v>2072</v>
      </c>
      <c r="R145" s="77">
        <f t="shared" si="15"/>
        <v>906.32348341192949</v>
      </c>
      <c r="T145" s="19">
        <f t="shared" si="18"/>
        <v>652.55290805658922</v>
      </c>
      <c r="U145" s="19">
        <f t="shared" si="19"/>
        <v>190.32793151650517</v>
      </c>
      <c r="V145" s="395">
        <f t="shared" si="10"/>
        <v>462.22497654008407</v>
      </c>
      <c r="Y145">
        <v>30</v>
      </c>
      <c r="Z145" s="63">
        <f t="shared" si="20"/>
        <v>64.833746481012611</v>
      </c>
      <c r="AA145" s="63">
        <f t="shared" si="21"/>
        <v>367.39123005907146</v>
      </c>
      <c r="AB145" s="63">
        <f t="shared" si="11"/>
        <v>462.22497654008407</v>
      </c>
    </row>
    <row r="146" spans="1:28">
      <c r="A146" s="75">
        <v>53</v>
      </c>
      <c r="B146" s="76">
        <v>2073</v>
      </c>
      <c r="C146" s="77">
        <f t="shared" si="14"/>
        <v>902.69453550222624</v>
      </c>
      <c r="E146" s="19">
        <f t="shared" si="6"/>
        <v>649.94006556160286</v>
      </c>
      <c r="F146" s="19">
        <f t="shared" si="7"/>
        <v>189.56585245546751</v>
      </c>
      <c r="G146" s="395">
        <f t="shared" si="8"/>
        <v>460.37421310613536</v>
      </c>
      <c r="J146">
        <v>30</v>
      </c>
      <c r="K146" s="63">
        <f t="shared" si="16"/>
        <v>64.556131965920301</v>
      </c>
      <c r="L146" s="63">
        <f t="shared" si="17"/>
        <v>365.81808114021504</v>
      </c>
      <c r="M146" s="63">
        <f t="shared" si="9"/>
        <v>460.37421310613536</v>
      </c>
      <c r="P146" s="75">
        <v>53</v>
      </c>
      <c r="Q146" s="76">
        <v>2073</v>
      </c>
      <c r="R146" s="77">
        <f t="shared" si="15"/>
        <v>913.57407127922488</v>
      </c>
      <c r="T146" s="19">
        <f t="shared" si="18"/>
        <v>657.77333132104184</v>
      </c>
      <c r="U146" s="19">
        <f t="shared" si="19"/>
        <v>191.85055496863723</v>
      </c>
      <c r="V146" s="395">
        <f t="shared" si="10"/>
        <v>465.92277635240464</v>
      </c>
      <c r="Y146">
        <v>30</v>
      </c>
      <c r="Z146" s="63">
        <f t="shared" si="20"/>
        <v>65.388416452860696</v>
      </c>
      <c r="AA146" s="63">
        <f t="shared" si="21"/>
        <v>370.53435989954392</v>
      </c>
      <c r="AB146" s="63">
        <f t="shared" si="11"/>
        <v>465.92277635240464</v>
      </c>
    </row>
    <row r="147" spans="1:28">
      <c r="A147" s="75">
        <v>54</v>
      </c>
      <c r="B147" s="76">
        <v>2074</v>
      </c>
      <c r="C147" s="77">
        <f t="shared" si="14"/>
        <v>909.91609178624401</v>
      </c>
      <c r="E147" s="19">
        <f t="shared" si="6"/>
        <v>655.13958608609562</v>
      </c>
      <c r="F147" s="19">
        <f t="shared" si="7"/>
        <v>191.08237927511124</v>
      </c>
      <c r="G147" s="395">
        <f t="shared" si="8"/>
        <v>464.05720681098438</v>
      </c>
      <c r="J147">
        <v>30</v>
      </c>
      <c r="K147" s="63">
        <f t="shared" si="16"/>
        <v>65.108581021647652</v>
      </c>
      <c r="L147" s="63">
        <f t="shared" si="17"/>
        <v>368.94862578933669</v>
      </c>
      <c r="M147" s="63">
        <f t="shared" si="9"/>
        <v>464.05720681098433</v>
      </c>
      <c r="P147" s="75">
        <v>54</v>
      </c>
      <c r="Q147" s="76">
        <v>2074</v>
      </c>
      <c r="R147" s="77">
        <f t="shared" si="15"/>
        <v>920.88266384945871</v>
      </c>
      <c r="T147" s="19">
        <f t="shared" si="18"/>
        <v>663.03551797161026</v>
      </c>
      <c r="U147" s="19">
        <f t="shared" si="19"/>
        <v>193.38535940838634</v>
      </c>
      <c r="V147" s="395">
        <f t="shared" si="10"/>
        <v>469.65015856322395</v>
      </c>
      <c r="Y147">
        <v>30</v>
      </c>
      <c r="Z147" s="63">
        <f t="shared" si="20"/>
        <v>65.947523784483593</v>
      </c>
      <c r="AA147" s="63">
        <f t="shared" si="21"/>
        <v>373.70263477874033</v>
      </c>
      <c r="AB147" s="63">
        <f t="shared" si="11"/>
        <v>469.65015856322395</v>
      </c>
    </row>
    <row r="148" spans="1:28">
      <c r="A148" s="75">
        <v>55</v>
      </c>
      <c r="B148" s="76">
        <v>2075</v>
      </c>
      <c r="C148" s="77">
        <f t="shared" si="14"/>
        <v>917.19542052053396</v>
      </c>
      <c r="E148" s="19">
        <f t="shared" si="6"/>
        <v>660.38070277478448</v>
      </c>
      <c r="F148" s="19">
        <f t="shared" si="7"/>
        <v>192.61103830931214</v>
      </c>
      <c r="G148" s="395">
        <f t="shared" si="8"/>
        <v>467.76966446547237</v>
      </c>
      <c r="J148">
        <v>30</v>
      </c>
      <c r="K148" s="63">
        <f t="shared" si="16"/>
        <v>65.665449669820859</v>
      </c>
      <c r="L148" s="63">
        <f t="shared" si="17"/>
        <v>372.1042147956515</v>
      </c>
      <c r="M148" s="63">
        <f t="shared" si="9"/>
        <v>467.76966446547237</v>
      </c>
      <c r="P148" s="75">
        <v>55</v>
      </c>
      <c r="Q148" s="76">
        <v>2075</v>
      </c>
      <c r="R148" s="77">
        <f t="shared" si="15"/>
        <v>928.24972516025434</v>
      </c>
      <c r="T148" s="19">
        <f t="shared" si="18"/>
        <v>668.33980211538312</v>
      </c>
      <c r="U148" s="19">
        <f t="shared" si="19"/>
        <v>194.93244228365342</v>
      </c>
      <c r="V148" s="395">
        <f t="shared" si="10"/>
        <v>473.40735983172971</v>
      </c>
      <c r="Y148">
        <v>30</v>
      </c>
      <c r="Z148" s="63">
        <f t="shared" si="20"/>
        <v>66.51110397475945</v>
      </c>
      <c r="AA148" s="63">
        <f t="shared" si="21"/>
        <v>376.89625585697024</v>
      </c>
      <c r="AB148" s="63">
        <f t="shared" si="11"/>
        <v>473.40735983172971</v>
      </c>
    </row>
    <row r="149" spans="1:28">
      <c r="A149" s="75">
        <v>56</v>
      </c>
      <c r="B149" s="76">
        <v>2076</v>
      </c>
      <c r="C149" s="77">
        <f t="shared" si="14"/>
        <v>924.53298388469818</v>
      </c>
      <c r="E149" s="19">
        <f t="shared" si="6"/>
        <v>665.66374839698267</v>
      </c>
      <c r="F149" s="19">
        <f t="shared" si="7"/>
        <v>194.15192661578661</v>
      </c>
      <c r="G149" s="395">
        <f t="shared" si="8"/>
        <v>471.51182178119609</v>
      </c>
      <c r="J149">
        <v>30</v>
      </c>
      <c r="K149" s="63">
        <f t="shared" si="16"/>
        <v>66.226773267179411</v>
      </c>
      <c r="L149" s="63">
        <f t="shared" si="17"/>
        <v>375.28504851401669</v>
      </c>
      <c r="M149" s="63">
        <f t="shared" si="9"/>
        <v>471.51182178119609</v>
      </c>
      <c r="P149" s="75">
        <v>56</v>
      </c>
      <c r="Q149" s="76">
        <v>2076</v>
      </c>
      <c r="R149" s="77">
        <f t="shared" si="15"/>
        <v>935.67572296153639</v>
      </c>
      <c r="T149" s="19">
        <f t="shared" si="18"/>
        <v>673.68652053230619</v>
      </c>
      <c r="U149" s="19">
        <f t="shared" si="19"/>
        <v>196.49190182192262</v>
      </c>
      <c r="V149" s="395">
        <f t="shared" si="10"/>
        <v>477.19461871038357</v>
      </c>
      <c r="Y149">
        <v>30</v>
      </c>
      <c r="Z149" s="63">
        <f t="shared" si="20"/>
        <v>67.079192806557529</v>
      </c>
      <c r="AA149" s="63">
        <f t="shared" si="21"/>
        <v>380.11542590382601</v>
      </c>
      <c r="AB149" s="63">
        <f t="shared" si="11"/>
        <v>477.19461871038357</v>
      </c>
    </row>
    <row r="150" spans="1:28">
      <c r="A150" s="75">
        <v>57</v>
      </c>
      <c r="B150" s="76">
        <v>2077</v>
      </c>
      <c r="C150" s="77">
        <f t="shared" si="14"/>
        <v>931.9292477557758</v>
      </c>
      <c r="E150" s="19">
        <f t="shared" si="6"/>
        <v>670.98905838415851</v>
      </c>
      <c r="F150" s="19">
        <f t="shared" si="7"/>
        <v>195.70514202871291</v>
      </c>
      <c r="G150" s="395">
        <f t="shared" si="8"/>
        <v>475.28391635544563</v>
      </c>
      <c r="J150">
        <v>30</v>
      </c>
      <c r="K150" s="63">
        <f t="shared" si="16"/>
        <v>66.792587453316841</v>
      </c>
      <c r="L150" s="63">
        <f t="shared" si="17"/>
        <v>378.49132890212877</v>
      </c>
      <c r="M150" s="63">
        <f t="shared" si="9"/>
        <v>475.28391635544563</v>
      </c>
      <c r="P150" s="75">
        <v>57</v>
      </c>
      <c r="Q150" s="76">
        <v>2077</v>
      </c>
      <c r="R150" s="77">
        <f t="shared" si="15"/>
        <v>943.16112874522867</v>
      </c>
      <c r="T150" s="19">
        <f t="shared" si="18"/>
        <v>679.07601269656459</v>
      </c>
      <c r="U150" s="19">
        <f t="shared" si="19"/>
        <v>198.063837036498</v>
      </c>
      <c r="V150" s="395">
        <f t="shared" si="10"/>
        <v>481.01217566006659</v>
      </c>
      <c r="Y150">
        <v>30</v>
      </c>
      <c r="Z150" s="63">
        <f t="shared" si="20"/>
        <v>67.65182634900998</v>
      </c>
      <c r="AA150" s="63">
        <f t="shared" si="21"/>
        <v>383.36034931105661</v>
      </c>
      <c r="AB150" s="63">
        <f t="shared" si="11"/>
        <v>481.01217566006659</v>
      </c>
    </row>
    <row r="151" spans="1:28">
      <c r="A151" s="75">
        <v>58</v>
      </c>
      <c r="B151" s="76">
        <v>2078</v>
      </c>
      <c r="C151" s="77">
        <f t="shared" si="14"/>
        <v>939.38468173782201</v>
      </c>
      <c r="E151" s="19">
        <f t="shared" si="6"/>
        <v>676.35697085123184</v>
      </c>
      <c r="F151" s="19">
        <f t="shared" si="7"/>
        <v>197.27078316494263</v>
      </c>
      <c r="G151" s="395">
        <f t="shared" si="8"/>
        <v>479.08618768628924</v>
      </c>
      <c r="J151">
        <v>30</v>
      </c>
      <c r="K151" s="63">
        <f t="shared" si="16"/>
        <v>67.362928152943383</v>
      </c>
      <c r="L151" s="63">
        <f t="shared" si="17"/>
        <v>381.72325953334587</v>
      </c>
      <c r="M151" s="63">
        <f t="shared" si="9"/>
        <v>479.08618768628924</v>
      </c>
      <c r="P151" s="75">
        <v>58</v>
      </c>
      <c r="Q151" s="76">
        <v>2078</v>
      </c>
      <c r="R151" s="77">
        <f t="shared" si="15"/>
        <v>950.70641777519052</v>
      </c>
      <c r="T151" s="19">
        <f t="shared" si="18"/>
        <v>684.50862079813714</v>
      </c>
      <c r="U151" s="19">
        <f t="shared" si="19"/>
        <v>199.64834773279</v>
      </c>
      <c r="V151" s="395">
        <f t="shared" si="10"/>
        <v>484.86027306534714</v>
      </c>
      <c r="Y151">
        <v>30</v>
      </c>
      <c r="Z151" s="63">
        <f t="shared" si="20"/>
        <v>68.229040959802063</v>
      </c>
      <c r="AA151" s="63">
        <f t="shared" si="21"/>
        <v>386.63123210554505</v>
      </c>
      <c r="AB151" s="63">
        <f t="shared" si="11"/>
        <v>484.86027306534709</v>
      </c>
    </row>
    <row r="152" spans="1:28">
      <c r="A152" s="75">
        <v>59</v>
      </c>
      <c r="B152" s="76">
        <v>2079</v>
      </c>
      <c r="C152" s="77">
        <f t="shared" si="14"/>
        <v>946.89975919172457</v>
      </c>
      <c r="E152" s="19">
        <f t="shared" si="6"/>
        <v>681.76782661804168</v>
      </c>
      <c r="F152" s="19">
        <f t="shared" si="7"/>
        <v>198.84894943026217</v>
      </c>
      <c r="G152" s="395">
        <f t="shared" si="8"/>
        <v>482.91887718777951</v>
      </c>
      <c r="J152">
        <v>30</v>
      </c>
      <c r="K152" s="63">
        <f t="shared" si="16"/>
        <v>67.937831578166922</v>
      </c>
      <c r="L152" s="63">
        <f t="shared" si="17"/>
        <v>384.98104560961258</v>
      </c>
      <c r="M152" s="63">
        <f t="shared" si="9"/>
        <v>482.91887718777951</v>
      </c>
      <c r="P152" s="75">
        <v>59</v>
      </c>
      <c r="Q152" s="76">
        <v>2079</v>
      </c>
      <c r="R152" s="77">
        <f t="shared" si="15"/>
        <v>958.31206911739207</v>
      </c>
      <c r="T152" s="19">
        <f t="shared" si="18"/>
        <v>689.98468976452227</v>
      </c>
      <c r="U152" s="19">
        <f t="shared" si="19"/>
        <v>201.24553451465232</v>
      </c>
      <c r="V152" s="395">
        <f t="shared" si="10"/>
        <v>488.73915524986995</v>
      </c>
      <c r="Y152">
        <v>30</v>
      </c>
      <c r="Z152" s="63">
        <f t="shared" si="20"/>
        <v>68.81087328748049</v>
      </c>
      <c r="AA152" s="63">
        <f t="shared" si="21"/>
        <v>389.92828196238946</v>
      </c>
      <c r="AB152" s="63">
        <f t="shared" si="11"/>
        <v>488.73915524986995</v>
      </c>
    </row>
    <row r="153" spans="1:28">
      <c r="A153" s="75">
        <v>60</v>
      </c>
      <c r="B153" s="76">
        <v>2080</v>
      </c>
      <c r="C153" s="77">
        <f t="shared" si="14"/>
        <v>954.47495726525835</v>
      </c>
      <c r="E153" s="19">
        <f t="shared" si="6"/>
        <v>687.22196923098602</v>
      </c>
      <c r="F153" s="19">
        <f t="shared" si="7"/>
        <v>200.43974102570425</v>
      </c>
      <c r="G153" s="395">
        <f t="shared" si="8"/>
        <v>486.78222820528174</v>
      </c>
      <c r="J153">
        <v>30</v>
      </c>
      <c r="K153" s="63">
        <f t="shared" si="16"/>
        <v>68.517334230792258</v>
      </c>
      <c r="L153" s="63">
        <f t="shared" si="17"/>
        <v>388.2648939744895</v>
      </c>
      <c r="M153" s="63">
        <f t="shared" si="9"/>
        <v>486.78222820528174</v>
      </c>
      <c r="P153" s="75">
        <v>60</v>
      </c>
      <c r="Q153" s="76">
        <v>2080</v>
      </c>
      <c r="R153" s="77">
        <f t="shared" si="15"/>
        <v>965.97856567033125</v>
      </c>
      <c r="T153" s="19">
        <f t="shared" si="18"/>
        <v>695.5045672826385</v>
      </c>
      <c r="U153" s="19">
        <f t="shared" si="19"/>
        <v>202.85549879076956</v>
      </c>
      <c r="V153" s="395">
        <f t="shared" si="10"/>
        <v>492.64906849186895</v>
      </c>
      <c r="Y153">
        <v>30</v>
      </c>
      <c r="Z153" s="63">
        <f t="shared" si="20"/>
        <v>69.397360273780336</v>
      </c>
      <c r="AA153" s="63">
        <f t="shared" si="21"/>
        <v>393.2517082180886</v>
      </c>
      <c r="AB153" s="63">
        <f t="shared" si="11"/>
        <v>492.64906849186895</v>
      </c>
    </row>
    <row r="154" spans="1:28">
      <c r="A154" s="75">
        <v>61</v>
      </c>
      <c r="B154" s="76">
        <v>2081</v>
      </c>
      <c r="C154" s="77">
        <f t="shared" si="14"/>
        <v>962.11075692338045</v>
      </c>
      <c r="E154" s="19">
        <f t="shared" si="6"/>
        <v>692.71974498483394</v>
      </c>
      <c r="F154" s="19">
        <f t="shared" si="7"/>
        <v>202.04325895390988</v>
      </c>
      <c r="G154" s="395">
        <f t="shared" si="8"/>
        <v>490.67648603092402</v>
      </c>
      <c r="J154">
        <v>30</v>
      </c>
      <c r="K154" s="63">
        <f t="shared" si="16"/>
        <v>69.101472904638598</v>
      </c>
      <c r="L154" s="63">
        <f t="shared" si="17"/>
        <v>391.5750131262854</v>
      </c>
      <c r="M154" s="63">
        <f t="shared" si="9"/>
        <v>490.67648603092402</v>
      </c>
      <c r="P154" s="75">
        <v>61</v>
      </c>
      <c r="Q154" s="76">
        <v>2081</v>
      </c>
      <c r="R154" s="77">
        <f t="shared" si="15"/>
        <v>973.70639419569386</v>
      </c>
      <c r="T154" s="19">
        <f t="shared" si="18"/>
        <v>701.06860382089951</v>
      </c>
      <c r="U154" s="19">
        <f t="shared" si="19"/>
        <v>204.47834278109571</v>
      </c>
      <c r="V154" s="395">
        <f t="shared" si="10"/>
        <v>496.59026103980381</v>
      </c>
      <c r="Y154">
        <v>30</v>
      </c>
      <c r="Z154" s="63">
        <f t="shared" si="20"/>
        <v>69.988539155970571</v>
      </c>
      <c r="AA154" s="63">
        <f t="shared" si="21"/>
        <v>396.60172188383325</v>
      </c>
      <c r="AB154" s="63">
        <f t="shared" si="11"/>
        <v>496.59026103980381</v>
      </c>
    </row>
    <row r="155" spans="1:28">
      <c r="A155" s="75">
        <v>62</v>
      </c>
      <c r="B155" s="76">
        <v>2082</v>
      </c>
      <c r="C155" s="77">
        <f t="shared" si="14"/>
        <v>969.80764297876749</v>
      </c>
      <c r="E155" s="19">
        <f t="shared" si="6"/>
        <v>698.26150294471256</v>
      </c>
      <c r="F155" s="19">
        <f t="shared" si="7"/>
        <v>203.65960502554117</v>
      </c>
      <c r="G155" s="395">
        <f t="shared" si="8"/>
        <v>494.60189791917139</v>
      </c>
      <c r="J155">
        <v>30</v>
      </c>
      <c r="K155" s="63">
        <f t="shared" si="16"/>
        <v>69.690284687875703</v>
      </c>
      <c r="L155" s="63">
        <f t="shared" si="17"/>
        <v>394.91161323129569</v>
      </c>
      <c r="M155" s="63">
        <f t="shared" si="9"/>
        <v>494.60189791917139</v>
      </c>
      <c r="P155" s="75">
        <v>62</v>
      </c>
      <c r="Q155" s="76">
        <v>2082</v>
      </c>
      <c r="R155" s="77">
        <f t="shared" si="15"/>
        <v>981.49604534925948</v>
      </c>
      <c r="T155" s="19">
        <f t="shared" si="18"/>
        <v>706.67715265146683</v>
      </c>
      <c r="U155" s="19">
        <f t="shared" si="19"/>
        <v>206.11416952334449</v>
      </c>
      <c r="V155" s="395">
        <f t="shared" si="10"/>
        <v>500.56298312812237</v>
      </c>
      <c r="Y155">
        <v>30</v>
      </c>
      <c r="Z155" s="63">
        <f t="shared" si="20"/>
        <v>70.584447469218347</v>
      </c>
      <c r="AA155" s="63">
        <f t="shared" si="21"/>
        <v>399.97853565890398</v>
      </c>
      <c r="AB155" s="63">
        <f t="shared" si="11"/>
        <v>500.56298312812231</v>
      </c>
    </row>
    <row r="156" spans="1:28">
      <c r="A156" s="75">
        <v>63</v>
      </c>
      <c r="B156" s="76">
        <v>2083</v>
      </c>
      <c r="C156" s="77">
        <f t="shared" si="14"/>
        <v>977.56610412259761</v>
      </c>
      <c r="E156" s="19">
        <f t="shared" si="6"/>
        <v>703.8475949682703</v>
      </c>
      <c r="F156" s="19">
        <f t="shared" si="7"/>
        <v>205.28888186574548</v>
      </c>
      <c r="G156" s="395">
        <f t="shared" si="8"/>
        <v>498.55871310252485</v>
      </c>
      <c r="J156">
        <v>30</v>
      </c>
      <c r="K156" s="63">
        <f t="shared" si="16"/>
        <v>70.28380696537873</v>
      </c>
      <c r="L156" s="63">
        <f t="shared" si="17"/>
        <v>398.2749061371461</v>
      </c>
      <c r="M156" s="63">
        <f t="shared" si="9"/>
        <v>498.55871310252485</v>
      </c>
      <c r="P156" s="75">
        <v>63</v>
      </c>
      <c r="Q156" s="76">
        <v>2083</v>
      </c>
      <c r="R156" s="77">
        <f t="shared" si="15"/>
        <v>989.34801371205356</v>
      </c>
      <c r="T156" s="19">
        <f t="shared" si="18"/>
        <v>712.33056987267855</v>
      </c>
      <c r="U156" s="19">
        <f t="shared" si="19"/>
        <v>207.76308287953123</v>
      </c>
      <c r="V156" s="395">
        <f t="shared" si="10"/>
        <v>504.56748699314733</v>
      </c>
      <c r="Y156">
        <v>30</v>
      </c>
      <c r="Z156" s="63">
        <f t="shared" si="20"/>
        <v>71.185123048972102</v>
      </c>
      <c r="AA156" s="63">
        <f t="shared" si="21"/>
        <v>403.38236394417521</v>
      </c>
      <c r="AB156" s="63">
        <f t="shared" si="11"/>
        <v>504.56748699314733</v>
      </c>
    </row>
    <row r="157" spans="1:28">
      <c r="A157" s="75">
        <v>64</v>
      </c>
      <c r="B157" s="76">
        <v>2084</v>
      </c>
      <c r="C157" s="77">
        <f t="shared" si="14"/>
        <v>985.38663295557842</v>
      </c>
      <c r="E157" s="19">
        <f t="shared" si="6"/>
        <v>709.47837572801643</v>
      </c>
      <c r="F157" s="19">
        <f t="shared" si="7"/>
        <v>206.93119292067146</v>
      </c>
      <c r="G157" s="395">
        <f t="shared" si="8"/>
        <v>502.54718280734494</v>
      </c>
      <c r="J157">
        <v>30</v>
      </c>
      <c r="K157" s="63">
        <f t="shared" si="16"/>
        <v>70.882077421101741</v>
      </c>
      <c r="L157" s="63">
        <f t="shared" si="17"/>
        <v>401.66510538624317</v>
      </c>
      <c r="M157" s="63">
        <f t="shared" si="9"/>
        <v>502.54718280734494</v>
      </c>
      <c r="P157" s="75">
        <v>64</v>
      </c>
      <c r="Q157" s="76">
        <v>2084</v>
      </c>
      <c r="R157" s="77">
        <f t="shared" si="15"/>
        <v>997.26279782175004</v>
      </c>
      <c r="T157" s="19">
        <f t="shared" si="18"/>
        <v>718.02921443165997</v>
      </c>
      <c r="U157" s="19">
        <f t="shared" si="19"/>
        <v>209.4251875425675</v>
      </c>
      <c r="V157" s="395">
        <f t="shared" si="10"/>
        <v>508.60402688909244</v>
      </c>
      <c r="Y157">
        <v>30</v>
      </c>
      <c r="Z157" s="63">
        <f t="shared" si="20"/>
        <v>71.790604033363863</v>
      </c>
      <c r="AA157" s="63">
        <f t="shared" si="21"/>
        <v>406.81342285572856</v>
      </c>
      <c r="AB157" s="63">
        <f t="shared" si="11"/>
        <v>508.60402688909244</v>
      </c>
    </row>
    <row r="158" spans="1:28">
      <c r="A158" s="75">
        <v>65</v>
      </c>
      <c r="B158" s="76">
        <v>2085</v>
      </c>
      <c r="C158" s="77">
        <f t="shared" si="14"/>
        <v>993.26972601922307</v>
      </c>
      <c r="E158" s="19">
        <f t="shared" si="6"/>
        <v>715.15420273384063</v>
      </c>
      <c r="F158" s="19">
        <f t="shared" si="7"/>
        <v>208.58664246403683</v>
      </c>
      <c r="G158" s="395">
        <f t="shared" si="8"/>
        <v>506.56756026980383</v>
      </c>
      <c r="J158">
        <v>30</v>
      </c>
      <c r="K158" s="63">
        <f t="shared" ref="K158:K189" si="22">(G158-J158)*0.15</f>
        <v>71.48513404047057</v>
      </c>
      <c r="L158" s="63">
        <f t="shared" ref="L158:L190" si="23">(G158-J158)*0.85</f>
        <v>405.08242622933324</v>
      </c>
      <c r="M158" s="63">
        <f t="shared" si="9"/>
        <v>506.56756026980383</v>
      </c>
      <c r="P158" s="75">
        <v>65</v>
      </c>
      <c r="Q158" s="76">
        <v>2085</v>
      </c>
      <c r="R158" s="77">
        <f t="shared" si="15"/>
        <v>1005.240900204324</v>
      </c>
      <c r="T158" s="19">
        <f t="shared" ref="T158:T190" si="24">R158*0.72</f>
        <v>723.7734481471133</v>
      </c>
      <c r="U158" s="19">
        <f t="shared" ref="U158:U190" si="25">R158*0.21</f>
        <v>211.10058904290804</v>
      </c>
      <c r="V158" s="395">
        <f t="shared" si="10"/>
        <v>512.67285910420526</v>
      </c>
      <c r="Y158">
        <v>30</v>
      </c>
      <c r="Z158" s="63">
        <f t="shared" ref="Z158:Z189" si="26">(V158-Y158)*0.15</f>
        <v>72.400928865630789</v>
      </c>
      <c r="AA158" s="63">
        <f t="shared" ref="AA158:AA190" si="27">(V158-Y158)*0.85</f>
        <v>410.27193023857444</v>
      </c>
      <c r="AB158" s="63">
        <f t="shared" si="11"/>
        <v>512.67285910420526</v>
      </c>
    </row>
    <row r="159" spans="1:28">
      <c r="A159" s="75">
        <v>66</v>
      </c>
      <c r="B159" s="76">
        <v>2086</v>
      </c>
      <c r="C159" s="77">
        <f t="shared" si="14"/>
        <v>1001.2158838273768</v>
      </c>
      <c r="E159" s="19">
        <f t="shared" ref="E159:E190" si="28">C159*0.72</f>
        <v>720.87543635571126</v>
      </c>
      <c r="F159" s="19">
        <f t="shared" ref="F159:F190" si="29">C159*0.21</f>
        <v>210.25533560374913</v>
      </c>
      <c r="G159" s="395">
        <f t="shared" ref="G159:G190" si="30">E159-F159</f>
        <v>510.62010075196213</v>
      </c>
      <c r="J159">
        <v>30</v>
      </c>
      <c r="K159" s="63">
        <f t="shared" si="22"/>
        <v>72.093015112794319</v>
      </c>
      <c r="L159" s="63">
        <f t="shared" si="23"/>
        <v>408.52708563916781</v>
      </c>
      <c r="M159" s="63">
        <f t="shared" ref="M159:M190" si="31">J159+K159+L159</f>
        <v>510.62010075196213</v>
      </c>
      <c r="P159" s="75">
        <v>66</v>
      </c>
      <c r="Q159" s="76">
        <v>2086</v>
      </c>
      <c r="R159" s="77">
        <f t="shared" si="15"/>
        <v>1013.2828274059586</v>
      </c>
      <c r="T159" s="19">
        <f t="shared" si="24"/>
        <v>729.56363573229021</v>
      </c>
      <c r="U159" s="19">
        <f t="shared" si="25"/>
        <v>212.7893937552513</v>
      </c>
      <c r="V159" s="395">
        <f t="shared" ref="V159:V190" si="32">T159-U159</f>
        <v>516.77424197703886</v>
      </c>
      <c r="Y159">
        <v>30</v>
      </c>
      <c r="Z159" s="63">
        <f t="shared" si="26"/>
        <v>73.016136296555828</v>
      </c>
      <c r="AA159" s="63">
        <f t="shared" si="27"/>
        <v>413.75810568048303</v>
      </c>
      <c r="AB159" s="63">
        <f t="shared" ref="AB159:AB190" si="33">Y159+Z159+AA159</f>
        <v>516.77424197703886</v>
      </c>
    </row>
    <row r="160" spans="1:28">
      <c r="A160" s="75">
        <v>67</v>
      </c>
      <c r="B160" s="76">
        <v>2087</v>
      </c>
      <c r="C160" s="77">
        <f t="shared" si="14"/>
        <v>1009.2256108979959</v>
      </c>
      <c r="E160" s="19">
        <f t="shared" si="28"/>
        <v>726.64243984655707</v>
      </c>
      <c r="F160" s="19">
        <f t="shared" si="29"/>
        <v>211.93737828857914</v>
      </c>
      <c r="G160" s="395">
        <f t="shared" si="30"/>
        <v>514.70506155797796</v>
      </c>
      <c r="J160">
        <v>30</v>
      </c>
      <c r="K160" s="63">
        <f t="shared" si="22"/>
        <v>72.705759233696696</v>
      </c>
      <c r="L160" s="63">
        <f t="shared" si="23"/>
        <v>411.99930232428125</v>
      </c>
      <c r="M160" s="63">
        <f t="shared" si="31"/>
        <v>514.70506155797796</v>
      </c>
      <c r="P160" s="75">
        <v>67</v>
      </c>
      <c r="Q160" s="76">
        <v>2087</v>
      </c>
      <c r="R160" s="77">
        <f t="shared" si="15"/>
        <v>1021.3890900252063</v>
      </c>
      <c r="T160" s="19">
        <f t="shared" si="24"/>
        <v>735.40014481814853</v>
      </c>
      <c r="U160" s="19">
        <f t="shared" si="25"/>
        <v>214.49170890529331</v>
      </c>
      <c r="V160" s="395">
        <f t="shared" si="32"/>
        <v>520.90843591285523</v>
      </c>
      <c r="Y160">
        <v>30</v>
      </c>
      <c r="Z160" s="63">
        <f t="shared" si="26"/>
        <v>73.636265386928287</v>
      </c>
      <c r="AA160" s="63">
        <f t="shared" si="27"/>
        <v>417.27217052592692</v>
      </c>
      <c r="AB160" s="63">
        <f t="shared" si="33"/>
        <v>520.90843591285523</v>
      </c>
    </row>
    <row r="161" spans="1:28">
      <c r="A161" s="75">
        <v>68</v>
      </c>
      <c r="B161" s="76">
        <v>2088</v>
      </c>
      <c r="C161" s="77">
        <f t="shared" si="14"/>
        <v>1017.2994157851799</v>
      </c>
      <c r="E161" s="19">
        <f t="shared" si="28"/>
        <v>732.45557936532953</v>
      </c>
      <c r="F161" s="19">
        <f t="shared" si="29"/>
        <v>213.63287731488776</v>
      </c>
      <c r="G161" s="395">
        <f t="shared" si="30"/>
        <v>518.82270205044176</v>
      </c>
      <c r="J161">
        <v>30</v>
      </c>
      <c r="K161" s="63">
        <f t="shared" si="22"/>
        <v>73.323405307566262</v>
      </c>
      <c r="L161" s="63">
        <f t="shared" si="23"/>
        <v>415.49929674287552</v>
      </c>
      <c r="M161" s="63">
        <f t="shared" si="31"/>
        <v>518.82270205044176</v>
      </c>
      <c r="P161" s="75">
        <v>68</v>
      </c>
      <c r="Q161" s="76">
        <v>2088</v>
      </c>
      <c r="R161" s="77">
        <f t="shared" si="15"/>
        <v>1029.5602027454079</v>
      </c>
      <c r="T161" s="19">
        <f t="shared" si="24"/>
        <v>741.28334597669368</v>
      </c>
      <c r="U161" s="19">
        <f t="shared" si="25"/>
        <v>216.20764257653565</v>
      </c>
      <c r="V161" s="395">
        <f t="shared" si="32"/>
        <v>525.07570340015809</v>
      </c>
      <c r="Y161">
        <v>30</v>
      </c>
      <c r="Z161" s="63">
        <f t="shared" si="26"/>
        <v>74.261355510023705</v>
      </c>
      <c r="AA161" s="63">
        <f t="shared" si="27"/>
        <v>420.81434789013434</v>
      </c>
      <c r="AB161" s="63">
        <f t="shared" si="33"/>
        <v>525.07570340015809</v>
      </c>
    </row>
    <row r="162" spans="1:28">
      <c r="A162" s="75">
        <v>69</v>
      </c>
      <c r="B162" s="76">
        <v>2089</v>
      </c>
      <c r="C162" s="77">
        <f t="shared" si="14"/>
        <v>1025.4378111114613</v>
      </c>
      <c r="E162" s="19">
        <f t="shared" si="28"/>
        <v>738.3152240002521</v>
      </c>
      <c r="F162" s="19">
        <f t="shared" si="29"/>
        <v>215.34194033340688</v>
      </c>
      <c r="G162" s="395">
        <f t="shared" si="30"/>
        <v>522.97328366684519</v>
      </c>
      <c r="J162">
        <v>30</v>
      </c>
      <c r="K162" s="63">
        <f t="shared" si="22"/>
        <v>73.945992550026773</v>
      </c>
      <c r="L162" s="63">
        <f t="shared" si="23"/>
        <v>419.02729111681839</v>
      </c>
      <c r="M162" s="63">
        <f t="shared" si="31"/>
        <v>522.97328366684519</v>
      </c>
      <c r="P162" s="75">
        <v>69</v>
      </c>
      <c r="Q162" s="76">
        <v>2089</v>
      </c>
      <c r="R162" s="77">
        <f t="shared" si="15"/>
        <v>1037.7966843673712</v>
      </c>
      <c r="T162" s="19">
        <f t="shared" si="24"/>
        <v>747.21361274450726</v>
      </c>
      <c r="U162" s="19">
        <f t="shared" si="25"/>
        <v>217.93730371714796</v>
      </c>
      <c r="V162" s="395">
        <f t="shared" si="32"/>
        <v>529.27630902735928</v>
      </c>
      <c r="Y162">
        <v>30</v>
      </c>
      <c r="Z162" s="63">
        <f t="shared" si="26"/>
        <v>74.891446354103891</v>
      </c>
      <c r="AA162" s="63">
        <f t="shared" si="27"/>
        <v>424.38486267325538</v>
      </c>
      <c r="AB162" s="63">
        <f t="shared" si="33"/>
        <v>529.27630902735928</v>
      </c>
    </row>
    <row r="163" spans="1:28">
      <c r="A163" s="75">
        <v>70</v>
      </c>
      <c r="B163" s="76">
        <v>2090</v>
      </c>
      <c r="C163" s="77">
        <f t="shared" si="14"/>
        <v>1033.641313600353</v>
      </c>
      <c r="E163" s="19">
        <f t="shared" si="28"/>
        <v>744.22174579225407</v>
      </c>
      <c r="F163" s="19">
        <f t="shared" si="29"/>
        <v>217.06467585607413</v>
      </c>
      <c r="G163" s="395">
        <f t="shared" si="30"/>
        <v>527.15706993617994</v>
      </c>
      <c r="J163">
        <v>30</v>
      </c>
      <c r="K163" s="63">
        <f t="shared" si="22"/>
        <v>74.573560490426985</v>
      </c>
      <c r="L163" s="63">
        <f t="shared" si="23"/>
        <v>422.58350944575295</v>
      </c>
      <c r="M163" s="63">
        <f t="shared" si="31"/>
        <v>527.15706993617994</v>
      </c>
      <c r="P163" s="75">
        <v>70</v>
      </c>
      <c r="Q163" s="76">
        <v>2090</v>
      </c>
      <c r="R163" s="77">
        <f t="shared" si="15"/>
        <v>1046.0990578423102</v>
      </c>
      <c r="T163" s="19">
        <f t="shared" si="24"/>
        <v>753.19132164646339</v>
      </c>
      <c r="U163" s="19">
        <f t="shared" si="25"/>
        <v>219.68080214688513</v>
      </c>
      <c r="V163" s="395">
        <f t="shared" si="32"/>
        <v>533.51051949957832</v>
      </c>
      <c r="Y163">
        <v>30</v>
      </c>
      <c r="Z163" s="63">
        <f t="shared" si="26"/>
        <v>75.526577924936745</v>
      </c>
      <c r="AA163" s="63">
        <f t="shared" si="27"/>
        <v>427.98394157464156</v>
      </c>
      <c r="AB163" s="63">
        <f t="shared" si="33"/>
        <v>533.51051949957832</v>
      </c>
    </row>
    <row r="164" spans="1:28">
      <c r="A164" s="75">
        <v>71</v>
      </c>
      <c r="B164" s="76">
        <v>2091</v>
      </c>
      <c r="C164" s="77">
        <f t="shared" si="14"/>
        <v>1041.9104441091558</v>
      </c>
      <c r="E164" s="19">
        <f t="shared" si="28"/>
        <v>750.17551975859215</v>
      </c>
      <c r="F164" s="19">
        <f t="shared" si="29"/>
        <v>218.80119326292271</v>
      </c>
      <c r="G164" s="395">
        <f t="shared" si="30"/>
        <v>531.37432649566949</v>
      </c>
      <c r="J164">
        <v>30</v>
      </c>
      <c r="K164" s="63">
        <f t="shared" si="22"/>
        <v>75.206148974350427</v>
      </c>
      <c r="L164" s="63">
        <f t="shared" si="23"/>
        <v>426.16817752131908</v>
      </c>
      <c r="M164" s="63">
        <f t="shared" si="31"/>
        <v>531.37432649566949</v>
      </c>
      <c r="P164" s="75">
        <v>71</v>
      </c>
      <c r="Q164" s="76">
        <v>2091</v>
      </c>
      <c r="R164" s="77">
        <f t="shared" si="15"/>
        <v>1054.4678503050486</v>
      </c>
      <c r="T164" s="19">
        <f t="shared" si="24"/>
        <v>759.21685221963503</v>
      </c>
      <c r="U164" s="19">
        <f t="shared" si="25"/>
        <v>221.43824856406019</v>
      </c>
      <c r="V164" s="395">
        <f t="shared" si="32"/>
        <v>537.7786036555749</v>
      </c>
      <c r="Y164">
        <v>30</v>
      </c>
      <c r="Z164" s="63">
        <f t="shared" si="26"/>
        <v>76.166790548336238</v>
      </c>
      <c r="AA164" s="63">
        <f t="shared" si="27"/>
        <v>431.61181310723867</v>
      </c>
      <c r="AB164" s="63">
        <f t="shared" si="33"/>
        <v>537.7786036555749</v>
      </c>
    </row>
    <row r="165" spans="1:28">
      <c r="A165" s="75">
        <v>72</v>
      </c>
      <c r="B165" s="76">
        <v>2092</v>
      </c>
      <c r="C165" s="77">
        <f t="shared" si="14"/>
        <v>1050.2457276620291</v>
      </c>
      <c r="E165" s="19">
        <f t="shared" si="28"/>
        <v>756.17692391666094</v>
      </c>
      <c r="F165" s="19">
        <f t="shared" si="29"/>
        <v>220.55160280902612</v>
      </c>
      <c r="G165" s="395">
        <f t="shared" si="30"/>
        <v>535.62532110763482</v>
      </c>
      <c r="J165">
        <v>30</v>
      </c>
      <c r="K165" s="63">
        <f t="shared" si="22"/>
        <v>75.84379816614522</v>
      </c>
      <c r="L165" s="63">
        <f t="shared" si="23"/>
        <v>429.78152294148958</v>
      </c>
      <c r="M165" s="63">
        <f t="shared" si="31"/>
        <v>535.62532110763482</v>
      </c>
      <c r="P165" s="75">
        <v>72</v>
      </c>
      <c r="Q165" s="76">
        <v>2092</v>
      </c>
      <c r="R165" s="77">
        <f t="shared" si="15"/>
        <v>1062.9035931074891</v>
      </c>
      <c r="T165" s="19">
        <f t="shared" si="24"/>
        <v>765.29058703739213</v>
      </c>
      <c r="U165" s="19">
        <f t="shared" si="25"/>
        <v>223.20975455257269</v>
      </c>
      <c r="V165" s="395">
        <f t="shared" si="32"/>
        <v>542.08083248481944</v>
      </c>
      <c r="Y165">
        <v>30</v>
      </c>
      <c r="Z165" s="63">
        <f t="shared" si="26"/>
        <v>76.812124872722919</v>
      </c>
      <c r="AA165" s="63">
        <f t="shared" si="27"/>
        <v>435.26870761209653</v>
      </c>
      <c r="AB165" s="63">
        <f t="shared" si="33"/>
        <v>542.08083248481944</v>
      </c>
    </row>
    <row r="166" spans="1:28">
      <c r="A166" s="75">
        <v>73</v>
      </c>
      <c r="B166" s="76">
        <v>2093</v>
      </c>
      <c r="C166" s="77">
        <f t="shared" si="14"/>
        <v>1058.6476934833254</v>
      </c>
      <c r="E166" s="19">
        <f t="shared" si="28"/>
        <v>762.22633930799429</v>
      </c>
      <c r="F166" s="19">
        <f t="shared" si="29"/>
        <v>222.31601563149832</v>
      </c>
      <c r="G166" s="395">
        <f t="shared" si="30"/>
        <v>539.91032367649598</v>
      </c>
      <c r="J166">
        <v>30</v>
      </c>
      <c r="K166" s="63">
        <f t="shared" si="22"/>
        <v>76.486548551474399</v>
      </c>
      <c r="L166" s="63">
        <f t="shared" si="23"/>
        <v>433.42377512502156</v>
      </c>
      <c r="M166" s="63">
        <f t="shared" si="31"/>
        <v>539.91032367649598</v>
      </c>
      <c r="P166" s="75">
        <v>73</v>
      </c>
      <c r="Q166" s="76">
        <v>2093</v>
      </c>
      <c r="R166" s="77">
        <f t="shared" si="15"/>
        <v>1071.4068218523489</v>
      </c>
      <c r="T166" s="19">
        <f t="shared" si="24"/>
        <v>771.4129117336912</v>
      </c>
      <c r="U166" s="19">
        <f t="shared" si="25"/>
        <v>224.99543258899325</v>
      </c>
      <c r="V166" s="395">
        <f t="shared" si="32"/>
        <v>546.41747914469795</v>
      </c>
      <c r="Y166">
        <v>30</v>
      </c>
      <c r="Z166" s="63">
        <f t="shared" si="26"/>
        <v>77.462621871704684</v>
      </c>
      <c r="AA166" s="63">
        <f t="shared" si="27"/>
        <v>438.95485727299325</v>
      </c>
      <c r="AB166" s="63">
        <f t="shared" si="33"/>
        <v>546.41747914469795</v>
      </c>
    </row>
    <row r="167" spans="1:28">
      <c r="A167" s="75">
        <v>74</v>
      </c>
      <c r="B167" s="76">
        <v>2094</v>
      </c>
      <c r="C167" s="77">
        <f t="shared" si="14"/>
        <v>1067.116875031192</v>
      </c>
      <c r="E167" s="19">
        <f t="shared" si="28"/>
        <v>768.32415002245818</v>
      </c>
      <c r="F167" s="19">
        <f t="shared" si="29"/>
        <v>224.09454375655031</v>
      </c>
      <c r="G167" s="395">
        <f t="shared" si="30"/>
        <v>544.22960626590793</v>
      </c>
      <c r="J167">
        <v>30</v>
      </c>
      <c r="K167" s="63">
        <f t="shared" si="22"/>
        <v>77.13444093988619</v>
      </c>
      <c r="L167" s="63">
        <f t="shared" si="23"/>
        <v>437.09516532602174</v>
      </c>
      <c r="M167" s="63">
        <f t="shared" si="31"/>
        <v>544.22960626590793</v>
      </c>
      <c r="P167" s="75">
        <v>74</v>
      </c>
      <c r="Q167" s="76">
        <v>2094</v>
      </c>
      <c r="R167" s="77">
        <f t="shared" si="15"/>
        <v>1079.9780764271677</v>
      </c>
      <c r="T167" s="19">
        <f t="shared" si="24"/>
        <v>777.58421502756073</v>
      </c>
      <c r="U167" s="19">
        <f t="shared" si="25"/>
        <v>226.7953960497052</v>
      </c>
      <c r="V167" s="395">
        <f t="shared" si="32"/>
        <v>550.7888189778555</v>
      </c>
      <c r="Y167">
        <v>30</v>
      </c>
      <c r="Z167" s="63">
        <f t="shared" si="26"/>
        <v>78.118322846678325</v>
      </c>
      <c r="AA167" s="63">
        <f t="shared" si="27"/>
        <v>442.67049613117717</v>
      </c>
      <c r="AB167" s="63">
        <f t="shared" si="33"/>
        <v>550.7888189778555</v>
      </c>
    </row>
    <row r="168" spans="1:28">
      <c r="A168" s="75">
        <v>75</v>
      </c>
      <c r="B168" s="76">
        <v>2095</v>
      </c>
      <c r="C168" s="77">
        <f t="shared" si="14"/>
        <v>1075.6538100314415</v>
      </c>
      <c r="E168" s="19">
        <f t="shared" si="28"/>
        <v>774.47074322263779</v>
      </c>
      <c r="F168" s="19">
        <f t="shared" si="29"/>
        <v>225.88730010660271</v>
      </c>
      <c r="G168" s="395">
        <f t="shared" si="30"/>
        <v>548.58344311603514</v>
      </c>
      <c r="J168">
        <v>30</v>
      </c>
      <c r="K168" s="63">
        <f t="shared" si="22"/>
        <v>77.787516467405268</v>
      </c>
      <c r="L168" s="63">
        <f t="shared" si="23"/>
        <v>440.79592664862986</v>
      </c>
      <c r="M168" s="63">
        <f t="shared" si="31"/>
        <v>548.58344311603514</v>
      </c>
      <c r="P168" s="75">
        <v>75</v>
      </c>
      <c r="Q168" s="76">
        <v>2095</v>
      </c>
      <c r="R168" s="77">
        <f t="shared" si="15"/>
        <v>1088.6179010385852</v>
      </c>
      <c r="T168" s="19">
        <f t="shared" si="24"/>
        <v>783.80488874778132</v>
      </c>
      <c r="U168" s="19">
        <f t="shared" si="25"/>
        <v>228.60975921810288</v>
      </c>
      <c r="V168" s="395">
        <f t="shared" si="32"/>
        <v>555.19512952967841</v>
      </c>
      <c r="Y168">
        <v>30</v>
      </c>
      <c r="Z168" s="63">
        <f t="shared" si="26"/>
        <v>78.779269429451759</v>
      </c>
      <c r="AA168" s="63">
        <f t="shared" si="27"/>
        <v>446.41586010022661</v>
      </c>
      <c r="AB168" s="63">
        <f t="shared" si="33"/>
        <v>555.19512952967841</v>
      </c>
    </row>
    <row r="169" spans="1:28">
      <c r="A169" s="75">
        <v>76</v>
      </c>
      <c r="B169" s="76">
        <v>2096</v>
      </c>
      <c r="C169" s="77">
        <f t="shared" si="14"/>
        <v>1084.259040511693</v>
      </c>
      <c r="E169" s="19">
        <f t="shared" si="28"/>
        <v>780.66650916841888</v>
      </c>
      <c r="F169" s="19">
        <f t="shared" si="29"/>
        <v>227.69439850745553</v>
      </c>
      <c r="G169" s="395">
        <f t="shared" si="30"/>
        <v>552.97211066096338</v>
      </c>
      <c r="J169">
        <v>30</v>
      </c>
      <c r="K169" s="63">
        <f t="shared" si="22"/>
        <v>78.445816599144507</v>
      </c>
      <c r="L169" s="63">
        <f t="shared" si="23"/>
        <v>444.52629406181887</v>
      </c>
      <c r="M169" s="63">
        <f t="shared" si="31"/>
        <v>552.97211066096338</v>
      </c>
      <c r="P169" s="75">
        <v>76</v>
      </c>
      <c r="Q169" s="76">
        <v>2096</v>
      </c>
      <c r="R169" s="77">
        <f t="shared" si="15"/>
        <v>1097.3268442468939</v>
      </c>
      <c r="T169" s="19">
        <f t="shared" si="24"/>
        <v>790.07532785776357</v>
      </c>
      <c r="U169" s="19">
        <f t="shared" si="25"/>
        <v>230.4386372918477</v>
      </c>
      <c r="V169" s="395">
        <f t="shared" si="32"/>
        <v>559.63669056591584</v>
      </c>
      <c r="Y169">
        <v>30</v>
      </c>
      <c r="Z169" s="63">
        <f t="shared" si="26"/>
        <v>79.445503584887376</v>
      </c>
      <c r="AA169" s="63">
        <f t="shared" si="27"/>
        <v>450.19118698102847</v>
      </c>
      <c r="AB169" s="63">
        <f t="shared" si="33"/>
        <v>559.63669056591584</v>
      </c>
    </row>
    <row r="170" spans="1:28">
      <c r="A170" s="75">
        <v>77</v>
      </c>
      <c r="B170" s="76">
        <v>2097</v>
      </c>
      <c r="C170" s="77">
        <f t="shared" ref="C170:C190" si="34">C169*1.008</f>
        <v>1092.9331128357865</v>
      </c>
      <c r="E170" s="19">
        <f t="shared" si="28"/>
        <v>786.91184124176618</v>
      </c>
      <c r="F170" s="19">
        <f t="shared" si="29"/>
        <v>229.51595369551515</v>
      </c>
      <c r="G170" s="395">
        <f t="shared" si="30"/>
        <v>557.39588754625106</v>
      </c>
      <c r="J170">
        <v>30</v>
      </c>
      <c r="K170" s="63">
        <f t="shared" si="22"/>
        <v>79.109383131937662</v>
      </c>
      <c r="L170" s="63">
        <f t="shared" si="23"/>
        <v>448.28650441431341</v>
      </c>
      <c r="M170" s="63">
        <f t="shared" si="31"/>
        <v>557.39588754625106</v>
      </c>
      <c r="P170" s="75">
        <v>77</v>
      </c>
      <c r="Q170" s="76">
        <v>2097</v>
      </c>
      <c r="R170" s="77">
        <f t="shared" ref="R170:R190" si="35">R169*1.008</f>
        <v>1106.1054590008691</v>
      </c>
      <c r="T170" s="19">
        <f t="shared" si="24"/>
        <v>796.39593048062579</v>
      </c>
      <c r="U170" s="19">
        <f t="shared" si="25"/>
        <v>232.2821463901825</v>
      </c>
      <c r="V170" s="395">
        <f t="shared" si="32"/>
        <v>564.11378409044323</v>
      </c>
      <c r="Y170">
        <v>30</v>
      </c>
      <c r="Z170" s="63">
        <f t="shared" si="26"/>
        <v>80.117067613566476</v>
      </c>
      <c r="AA170" s="63">
        <f t="shared" si="27"/>
        <v>453.99671647687671</v>
      </c>
      <c r="AB170" s="63">
        <f t="shared" si="33"/>
        <v>564.11378409044323</v>
      </c>
    </row>
    <row r="171" spans="1:28">
      <c r="A171" s="75">
        <v>78</v>
      </c>
      <c r="B171" s="76">
        <v>2098</v>
      </c>
      <c r="C171" s="77">
        <f t="shared" si="34"/>
        <v>1101.6765777384728</v>
      </c>
      <c r="E171" s="19">
        <f t="shared" si="28"/>
        <v>793.20713597170038</v>
      </c>
      <c r="F171" s="19">
        <f t="shared" si="29"/>
        <v>231.35208132507927</v>
      </c>
      <c r="G171" s="395">
        <f t="shared" si="30"/>
        <v>561.85505464662106</v>
      </c>
      <c r="J171">
        <v>30</v>
      </c>
      <c r="K171" s="63">
        <f t="shared" si="22"/>
        <v>79.77825819699315</v>
      </c>
      <c r="L171" s="63">
        <f t="shared" si="23"/>
        <v>452.07679644962786</v>
      </c>
      <c r="M171" s="63">
        <f t="shared" si="31"/>
        <v>561.85505464662106</v>
      </c>
      <c r="P171" s="75">
        <v>78</v>
      </c>
      <c r="Q171" s="76">
        <v>2098</v>
      </c>
      <c r="R171" s="77">
        <f t="shared" si="35"/>
        <v>1114.9543026728761</v>
      </c>
      <c r="T171" s="19">
        <f t="shared" si="24"/>
        <v>802.76709792447082</v>
      </c>
      <c r="U171" s="19">
        <f t="shared" si="25"/>
        <v>234.14040356130397</v>
      </c>
      <c r="V171" s="395">
        <f t="shared" si="32"/>
        <v>568.62669436316685</v>
      </c>
      <c r="Y171">
        <v>30</v>
      </c>
      <c r="Z171" s="63">
        <f t="shared" si="26"/>
        <v>80.794004154475019</v>
      </c>
      <c r="AA171" s="63">
        <f t="shared" si="27"/>
        <v>457.83269020869182</v>
      </c>
      <c r="AB171" s="63">
        <f t="shared" si="33"/>
        <v>568.62669436316685</v>
      </c>
    </row>
    <row r="172" spans="1:28">
      <c r="A172" s="75">
        <v>79</v>
      </c>
      <c r="B172" s="76">
        <v>2099</v>
      </c>
      <c r="C172" s="77">
        <f t="shared" si="34"/>
        <v>1110.4899903603807</v>
      </c>
      <c r="E172" s="19">
        <f t="shared" si="28"/>
        <v>799.55279305947408</v>
      </c>
      <c r="F172" s="19">
        <f t="shared" si="29"/>
        <v>233.20289797567995</v>
      </c>
      <c r="G172" s="395">
        <f t="shared" si="30"/>
        <v>566.34989508379408</v>
      </c>
      <c r="J172">
        <v>30</v>
      </c>
      <c r="K172" s="63">
        <f t="shared" si="22"/>
        <v>80.452484262569115</v>
      </c>
      <c r="L172" s="63">
        <f t="shared" si="23"/>
        <v>455.89741082122498</v>
      </c>
      <c r="M172" s="63">
        <f t="shared" si="31"/>
        <v>566.34989508379408</v>
      </c>
      <c r="P172" s="75">
        <v>79</v>
      </c>
      <c r="Q172" s="76">
        <v>2099</v>
      </c>
      <c r="R172" s="77">
        <f t="shared" si="35"/>
        <v>1123.8739370942592</v>
      </c>
      <c r="T172" s="19">
        <f t="shared" si="24"/>
        <v>809.1892347078666</v>
      </c>
      <c r="U172" s="19">
        <f t="shared" si="25"/>
        <v>236.01352678979441</v>
      </c>
      <c r="V172" s="395">
        <f t="shared" si="32"/>
        <v>573.17570791807225</v>
      </c>
      <c r="Y172">
        <v>30</v>
      </c>
      <c r="Z172" s="63">
        <f t="shared" si="26"/>
        <v>81.476356187710834</v>
      </c>
      <c r="AA172" s="63">
        <f t="shared" si="27"/>
        <v>461.6993517303614</v>
      </c>
      <c r="AB172" s="63">
        <f t="shared" si="33"/>
        <v>573.17570791807225</v>
      </c>
    </row>
    <row r="173" spans="1:28">
      <c r="A173" s="75">
        <v>80</v>
      </c>
      <c r="B173" s="76">
        <v>2100</v>
      </c>
      <c r="C173" s="77">
        <f t="shared" si="34"/>
        <v>1119.3739102832637</v>
      </c>
      <c r="E173" s="19">
        <f t="shared" si="28"/>
        <v>805.94921540394989</v>
      </c>
      <c r="F173" s="19">
        <f t="shared" si="29"/>
        <v>235.06852115948539</v>
      </c>
      <c r="G173" s="395">
        <f t="shared" si="30"/>
        <v>570.88069424446451</v>
      </c>
      <c r="J173">
        <v>30</v>
      </c>
      <c r="K173" s="63">
        <f t="shared" si="22"/>
        <v>81.132104136669668</v>
      </c>
      <c r="L173" s="63">
        <f t="shared" si="23"/>
        <v>459.74859010779483</v>
      </c>
      <c r="M173" s="63">
        <f t="shared" si="31"/>
        <v>570.88069424446451</v>
      </c>
      <c r="P173" s="75">
        <v>80</v>
      </c>
      <c r="Q173" s="76">
        <v>2100</v>
      </c>
      <c r="R173" s="77">
        <f t="shared" si="35"/>
        <v>1132.8649285910133</v>
      </c>
      <c r="T173" s="19">
        <f t="shared" si="24"/>
        <v>815.66274858552947</v>
      </c>
      <c r="U173" s="19">
        <f t="shared" si="25"/>
        <v>237.90163500411279</v>
      </c>
      <c r="V173" s="395">
        <f t="shared" si="32"/>
        <v>577.76111358141668</v>
      </c>
      <c r="Y173">
        <v>30</v>
      </c>
      <c r="Z173" s="63">
        <f t="shared" si="26"/>
        <v>82.164167037212493</v>
      </c>
      <c r="AA173" s="63">
        <f t="shared" si="27"/>
        <v>465.59694654420417</v>
      </c>
      <c r="AB173" s="63">
        <f t="shared" si="33"/>
        <v>577.76111358141668</v>
      </c>
    </row>
    <row r="174" spans="1:28">
      <c r="A174" s="75">
        <v>81</v>
      </c>
      <c r="B174" s="76">
        <v>2101</v>
      </c>
      <c r="C174" s="77">
        <f t="shared" si="34"/>
        <v>1128.3289015655298</v>
      </c>
      <c r="E174" s="19">
        <f t="shared" si="28"/>
        <v>812.39680912718143</v>
      </c>
      <c r="F174" s="19">
        <f t="shared" si="29"/>
        <v>236.94906932876125</v>
      </c>
      <c r="G174" s="395">
        <f t="shared" si="30"/>
        <v>575.44773979842012</v>
      </c>
      <c r="J174">
        <v>30</v>
      </c>
      <c r="K174" s="63">
        <f t="shared" si="22"/>
        <v>81.817160969763009</v>
      </c>
      <c r="L174" s="63">
        <f t="shared" si="23"/>
        <v>463.63057882865706</v>
      </c>
      <c r="M174" s="63">
        <f t="shared" si="31"/>
        <v>575.44773979842012</v>
      </c>
      <c r="P174" s="75">
        <v>81</v>
      </c>
      <c r="Q174" s="76">
        <v>2101</v>
      </c>
      <c r="R174" s="77">
        <f t="shared" si="35"/>
        <v>1141.9278480197413</v>
      </c>
      <c r="T174" s="19">
        <f t="shared" si="24"/>
        <v>822.18805057421366</v>
      </c>
      <c r="U174" s="19">
        <f t="shared" si="25"/>
        <v>239.80484808414568</v>
      </c>
      <c r="V174" s="395">
        <f t="shared" si="32"/>
        <v>582.38320249006802</v>
      </c>
      <c r="Y174">
        <v>30</v>
      </c>
      <c r="Z174" s="63">
        <f t="shared" si="26"/>
        <v>82.857480373510199</v>
      </c>
      <c r="AA174" s="63">
        <f t="shared" si="27"/>
        <v>469.5257221165578</v>
      </c>
      <c r="AB174" s="63">
        <f t="shared" si="33"/>
        <v>582.38320249006802</v>
      </c>
    </row>
    <row r="175" spans="1:28">
      <c r="A175" s="75">
        <v>82</v>
      </c>
      <c r="B175" s="76">
        <v>2102</v>
      </c>
      <c r="C175" s="77">
        <f t="shared" si="34"/>
        <v>1137.3555327780541</v>
      </c>
      <c r="E175" s="19">
        <f t="shared" si="28"/>
        <v>818.89598360019897</v>
      </c>
      <c r="F175" s="19">
        <f t="shared" si="29"/>
        <v>238.84466188339135</v>
      </c>
      <c r="G175" s="395">
        <f t="shared" si="30"/>
        <v>580.05132171680759</v>
      </c>
      <c r="J175">
        <v>30</v>
      </c>
      <c r="K175" s="63">
        <f t="shared" si="22"/>
        <v>82.507698257521142</v>
      </c>
      <c r="L175" s="63">
        <f t="shared" si="23"/>
        <v>467.54362345928644</v>
      </c>
      <c r="M175" s="63">
        <f t="shared" si="31"/>
        <v>580.05132171680759</v>
      </c>
      <c r="P175" s="75">
        <v>82</v>
      </c>
      <c r="Q175" s="76">
        <v>2102</v>
      </c>
      <c r="R175" s="77">
        <f t="shared" si="35"/>
        <v>1151.0632708038993</v>
      </c>
      <c r="T175" s="19">
        <f t="shared" si="24"/>
        <v>828.76555497880747</v>
      </c>
      <c r="U175" s="19">
        <f t="shared" si="25"/>
        <v>241.72328686881883</v>
      </c>
      <c r="V175" s="395">
        <f t="shared" si="32"/>
        <v>587.04226810998864</v>
      </c>
      <c r="Y175">
        <v>30</v>
      </c>
      <c r="Z175" s="63">
        <f t="shared" si="26"/>
        <v>83.556340216498299</v>
      </c>
      <c r="AA175" s="63">
        <f t="shared" si="27"/>
        <v>473.48592789349033</v>
      </c>
      <c r="AB175" s="63">
        <f t="shared" si="33"/>
        <v>587.04226810998864</v>
      </c>
    </row>
    <row r="176" spans="1:28">
      <c r="A176" s="75">
        <v>83</v>
      </c>
      <c r="B176" s="76">
        <v>2103</v>
      </c>
      <c r="C176" s="77">
        <f t="shared" si="34"/>
        <v>1146.4543770402786</v>
      </c>
      <c r="E176" s="19">
        <f t="shared" si="28"/>
        <v>825.44715146900057</v>
      </c>
      <c r="F176" s="19">
        <f t="shared" si="29"/>
        <v>240.75541917845848</v>
      </c>
      <c r="G176" s="395">
        <f t="shared" si="30"/>
        <v>584.69173229054206</v>
      </c>
      <c r="J176">
        <v>30</v>
      </c>
      <c r="K176" s="63">
        <f t="shared" si="22"/>
        <v>83.203759843581309</v>
      </c>
      <c r="L176" s="63">
        <f t="shared" si="23"/>
        <v>471.48797244696073</v>
      </c>
      <c r="M176" s="63">
        <f t="shared" si="31"/>
        <v>584.69173229054206</v>
      </c>
      <c r="P176" s="75">
        <v>83</v>
      </c>
      <c r="Q176" s="76">
        <v>2103</v>
      </c>
      <c r="R176" s="77">
        <f t="shared" si="35"/>
        <v>1160.2717769703304</v>
      </c>
      <c r="T176" s="19">
        <f t="shared" si="24"/>
        <v>835.39567941863788</v>
      </c>
      <c r="U176" s="19">
        <f t="shared" si="25"/>
        <v>243.65707316376938</v>
      </c>
      <c r="V176" s="395">
        <f t="shared" si="32"/>
        <v>591.7386062548685</v>
      </c>
      <c r="Y176">
        <v>30</v>
      </c>
      <c r="Z176" s="63">
        <f t="shared" si="26"/>
        <v>84.260790938230272</v>
      </c>
      <c r="AA176" s="63">
        <f t="shared" si="27"/>
        <v>477.47781531663821</v>
      </c>
      <c r="AB176" s="63">
        <f t="shared" si="33"/>
        <v>591.7386062548685</v>
      </c>
    </row>
    <row r="177" spans="1:29">
      <c r="A177" s="75">
        <v>84</v>
      </c>
      <c r="B177" s="76">
        <v>2104</v>
      </c>
      <c r="C177" s="77">
        <f t="shared" si="34"/>
        <v>1155.6260120566008</v>
      </c>
      <c r="E177" s="19">
        <f t="shared" si="28"/>
        <v>832.05072868075251</v>
      </c>
      <c r="F177" s="19">
        <f t="shared" si="29"/>
        <v>242.68146253188615</v>
      </c>
      <c r="G177" s="395">
        <f t="shared" si="30"/>
        <v>589.36926614886636</v>
      </c>
      <c r="J177">
        <v>30</v>
      </c>
      <c r="K177" s="63">
        <f t="shared" si="22"/>
        <v>83.905389922329945</v>
      </c>
      <c r="L177" s="63">
        <f t="shared" si="23"/>
        <v>475.4638762265364</v>
      </c>
      <c r="M177" s="63">
        <f t="shared" si="31"/>
        <v>589.36926614886636</v>
      </c>
      <c r="P177" s="75">
        <v>84</v>
      </c>
      <c r="Q177" s="76">
        <v>2104</v>
      </c>
      <c r="R177" s="77">
        <f t="shared" si="35"/>
        <v>1169.5539511860929</v>
      </c>
      <c r="T177" s="19">
        <f t="shared" si="24"/>
        <v>842.07884485398688</v>
      </c>
      <c r="U177" s="19">
        <f t="shared" si="25"/>
        <v>245.60632974907952</v>
      </c>
      <c r="V177" s="395">
        <f t="shared" si="32"/>
        <v>596.47251510490742</v>
      </c>
      <c r="Y177">
        <v>30</v>
      </c>
      <c r="Z177" s="63">
        <f t="shared" si="26"/>
        <v>84.970877265736107</v>
      </c>
      <c r="AA177" s="63">
        <f t="shared" si="27"/>
        <v>481.50163783917128</v>
      </c>
      <c r="AB177" s="63">
        <f t="shared" si="33"/>
        <v>596.47251510490742</v>
      </c>
    </row>
    <row r="178" spans="1:29">
      <c r="A178" s="75">
        <v>85</v>
      </c>
      <c r="B178" s="76">
        <v>2105</v>
      </c>
      <c r="C178" s="77">
        <f t="shared" si="34"/>
        <v>1164.8710201530537</v>
      </c>
      <c r="E178" s="19">
        <f t="shared" si="28"/>
        <v>838.70713451019867</v>
      </c>
      <c r="F178" s="19">
        <f t="shared" si="29"/>
        <v>244.62291423214126</v>
      </c>
      <c r="G178" s="395">
        <f t="shared" si="30"/>
        <v>594.08422027805739</v>
      </c>
      <c r="J178">
        <v>30</v>
      </c>
      <c r="K178" s="63">
        <f t="shared" si="22"/>
        <v>84.612633041708605</v>
      </c>
      <c r="L178" s="63">
        <f t="shared" si="23"/>
        <v>479.47158723634874</v>
      </c>
      <c r="M178" s="63">
        <f t="shared" si="31"/>
        <v>594.08422027805739</v>
      </c>
      <c r="P178" s="75">
        <v>85</v>
      </c>
      <c r="Q178" s="76">
        <v>2105</v>
      </c>
      <c r="R178" s="77">
        <f t="shared" si="35"/>
        <v>1178.9103827955817</v>
      </c>
      <c r="T178" s="19">
        <f t="shared" si="24"/>
        <v>848.81547561281877</v>
      </c>
      <c r="U178" s="19">
        <f t="shared" si="25"/>
        <v>247.57118038707213</v>
      </c>
      <c r="V178" s="395">
        <f t="shared" si="32"/>
        <v>601.24429522574667</v>
      </c>
      <c r="Y178">
        <v>30</v>
      </c>
      <c r="Z178" s="63">
        <f t="shared" si="26"/>
        <v>85.686644283861995</v>
      </c>
      <c r="AA178" s="63">
        <f t="shared" si="27"/>
        <v>485.55765094188467</v>
      </c>
      <c r="AB178" s="63">
        <f t="shared" si="33"/>
        <v>601.24429522574667</v>
      </c>
    </row>
    <row r="179" spans="1:29">
      <c r="A179" s="75">
        <v>86</v>
      </c>
      <c r="B179" s="76">
        <v>2106</v>
      </c>
      <c r="C179" s="77">
        <f t="shared" si="34"/>
        <v>1174.189988314278</v>
      </c>
      <c r="E179" s="19">
        <f t="shared" si="28"/>
        <v>845.41679158628017</v>
      </c>
      <c r="F179" s="19">
        <f t="shared" si="29"/>
        <v>246.57989754599836</v>
      </c>
      <c r="G179" s="395">
        <f t="shared" si="30"/>
        <v>598.83689404028178</v>
      </c>
      <c r="J179">
        <v>30</v>
      </c>
      <c r="K179" s="63">
        <f t="shared" si="22"/>
        <v>85.325534106042269</v>
      </c>
      <c r="L179" s="63">
        <f t="shared" si="23"/>
        <v>483.51135993423952</v>
      </c>
      <c r="M179" s="63">
        <f t="shared" si="31"/>
        <v>598.83689404028178</v>
      </c>
      <c r="P179" s="75">
        <v>86</v>
      </c>
      <c r="Q179" s="76">
        <v>2106</v>
      </c>
      <c r="R179" s="77">
        <f t="shared" si="35"/>
        <v>1188.3416658579463</v>
      </c>
      <c r="T179" s="19">
        <f t="shared" si="24"/>
        <v>855.60599941772125</v>
      </c>
      <c r="U179" s="19">
        <f t="shared" si="25"/>
        <v>249.55174983016872</v>
      </c>
      <c r="V179" s="395">
        <f t="shared" si="32"/>
        <v>606.05424958755248</v>
      </c>
      <c r="Y179">
        <v>30</v>
      </c>
      <c r="Z179" s="63">
        <f t="shared" si="26"/>
        <v>86.408137438132869</v>
      </c>
      <c r="AA179" s="63">
        <f t="shared" si="27"/>
        <v>489.64611214941959</v>
      </c>
      <c r="AB179" s="63">
        <f t="shared" si="33"/>
        <v>606.05424958755248</v>
      </c>
    </row>
    <row r="180" spans="1:29">
      <c r="A180" s="75">
        <v>87</v>
      </c>
      <c r="B180" s="76">
        <v>2107</v>
      </c>
      <c r="C180" s="77">
        <f t="shared" si="34"/>
        <v>1183.5835082207923</v>
      </c>
      <c r="E180" s="19">
        <f t="shared" si="28"/>
        <v>852.18012591897036</v>
      </c>
      <c r="F180" s="19">
        <f t="shared" si="29"/>
        <v>248.55253672636638</v>
      </c>
      <c r="G180" s="395">
        <f t="shared" si="30"/>
        <v>603.62758919260398</v>
      </c>
      <c r="J180">
        <v>30</v>
      </c>
      <c r="K180" s="63">
        <f t="shared" si="22"/>
        <v>86.044138378890594</v>
      </c>
      <c r="L180" s="63">
        <f t="shared" si="23"/>
        <v>487.58345081371334</v>
      </c>
      <c r="M180" s="63">
        <f t="shared" si="31"/>
        <v>603.62758919260398</v>
      </c>
      <c r="P180" s="75">
        <v>87</v>
      </c>
      <c r="Q180" s="76">
        <v>2107</v>
      </c>
      <c r="R180" s="77">
        <f t="shared" si="35"/>
        <v>1197.8483991848098</v>
      </c>
      <c r="T180" s="19">
        <f t="shared" si="24"/>
        <v>862.450847413063</v>
      </c>
      <c r="U180" s="19">
        <f t="shared" si="25"/>
        <v>251.54816382881003</v>
      </c>
      <c r="V180" s="395">
        <f t="shared" si="32"/>
        <v>610.90268358425294</v>
      </c>
      <c r="Y180">
        <v>30</v>
      </c>
      <c r="Z180" s="63">
        <f t="shared" si="26"/>
        <v>87.135402537637944</v>
      </c>
      <c r="AA180" s="63">
        <f t="shared" si="27"/>
        <v>493.76728104661498</v>
      </c>
      <c r="AB180" s="63">
        <f t="shared" si="33"/>
        <v>610.90268358425294</v>
      </c>
    </row>
    <row r="181" spans="1:29">
      <c r="A181" s="75">
        <v>88</v>
      </c>
      <c r="B181" s="76">
        <v>2108</v>
      </c>
      <c r="C181" s="77">
        <f t="shared" si="34"/>
        <v>1193.0521762865587</v>
      </c>
      <c r="E181" s="19">
        <f t="shared" si="28"/>
        <v>858.99756692632229</v>
      </c>
      <c r="F181" s="19">
        <f t="shared" si="29"/>
        <v>250.54095702017733</v>
      </c>
      <c r="G181" s="395">
        <f t="shared" si="30"/>
        <v>608.45660990614499</v>
      </c>
      <c r="J181">
        <v>30</v>
      </c>
      <c r="K181" s="63">
        <f t="shared" si="22"/>
        <v>86.768491485921743</v>
      </c>
      <c r="L181" s="63">
        <f t="shared" si="23"/>
        <v>491.68811842022325</v>
      </c>
      <c r="M181" s="63">
        <f t="shared" si="31"/>
        <v>608.45660990614499</v>
      </c>
      <c r="P181" s="75">
        <v>88</v>
      </c>
      <c r="Q181" s="76">
        <v>2108</v>
      </c>
      <c r="R181" s="77">
        <f t="shared" si="35"/>
        <v>1207.4311863782882</v>
      </c>
      <c r="T181" s="19">
        <f t="shared" si="24"/>
        <v>869.35045419236747</v>
      </c>
      <c r="U181" s="19">
        <f t="shared" si="25"/>
        <v>253.56054913944052</v>
      </c>
      <c r="V181" s="395">
        <f t="shared" si="32"/>
        <v>615.789905052927</v>
      </c>
      <c r="Y181">
        <v>30</v>
      </c>
      <c r="Z181" s="63">
        <f t="shared" si="26"/>
        <v>87.868485757939041</v>
      </c>
      <c r="AA181" s="63">
        <f t="shared" si="27"/>
        <v>497.92141929498791</v>
      </c>
      <c r="AB181" s="63">
        <f t="shared" si="33"/>
        <v>615.789905052927</v>
      </c>
    </row>
    <row r="182" spans="1:29">
      <c r="A182" s="75">
        <v>89</v>
      </c>
      <c r="B182" s="76">
        <v>2109</v>
      </c>
      <c r="C182" s="77">
        <f t="shared" si="34"/>
        <v>1202.5965936968512</v>
      </c>
      <c r="E182" s="19">
        <f t="shared" si="28"/>
        <v>865.86954746173285</v>
      </c>
      <c r="F182" s="19">
        <f t="shared" si="29"/>
        <v>252.54528467633875</v>
      </c>
      <c r="G182" s="395">
        <f t="shared" si="30"/>
        <v>613.32426278539413</v>
      </c>
      <c r="J182">
        <v>30</v>
      </c>
      <c r="K182" s="63">
        <f t="shared" si="22"/>
        <v>87.498639417809116</v>
      </c>
      <c r="L182" s="63">
        <f t="shared" si="23"/>
        <v>495.82562336758497</v>
      </c>
      <c r="M182" s="63">
        <f t="shared" si="31"/>
        <v>613.32426278539413</v>
      </c>
      <c r="P182" s="75">
        <v>89</v>
      </c>
      <c r="Q182" s="76">
        <v>2109</v>
      </c>
      <c r="R182" s="77">
        <f t="shared" si="35"/>
        <v>1217.0906358693146</v>
      </c>
      <c r="T182" s="19">
        <f t="shared" si="24"/>
        <v>876.30525782590644</v>
      </c>
      <c r="U182" s="19">
        <f t="shared" si="25"/>
        <v>255.58903353255607</v>
      </c>
      <c r="V182" s="395">
        <f t="shared" si="32"/>
        <v>620.71622429335036</v>
      </c>
      <c r="Y182">
        <v>30</v>
      </c>
      <c r="Z182" s="63">
        <f t="shared" si="26"/>
        <v>88.607433644002555</v>
      </c>
      <c r="AA182" s="63">
        <f t="shared" si="27"/>
        <v>502.10879064934778</v>
      </c>
      <c r="AB182" s="63">
        <f t="shared" si="33"/>
        <v>620.71622429335036</v>
      </c>
    </row>
    <row r="183" spans="1:29">
      <c r="A183" s="75">
        <v>90</v>
      </c>
      <c r="B183" s="76">
        <v>2110</v>
      </c>
      <c r="C183" s="77">
        <f t="shared" si="34"/>
        <v>1212.217366446426</v>
      </c>
      <c r="E183" s="19">
        <f t="shared" si="28"/>
        <v>872.79650384142667</v>
      </c>
      <c r="F183" s="19">
        <f t="shared" si="29"/>
        <v>254.56564695374945</v>
      </c>
      <c r="G183" s="395">
        <f t="shared" si="30"/>
        <v>618.23085688767719</v>
      </c>
      <c r="J183">
        <v>30</v>
      </c>
      <c r="K183" s="63">
        <f t="shared" si="22"/>
        <v>88.234628533151579</v>
      </c>
      <c r="L183" s="63">
        <f t="shared" si="23"/>
        <v>499.99622835452561</v>
      </c>
      <c r="M183" s="63">
        <f t="shared" si="31"/>
        <v>618.23085688767719</v>
      </c>
      <c r="P183" s="75">
        <v>90</v>
      </c>
      <c r="Q183" s="76">
        <v>2110</v>
      </c>
      <c r="R183" s="77">
        <f t="shared" si="35"/>
        <v>1226.8273609562691</v>
      </c>
      <c r="T183" s="19">
        <f t="shared" si="24"/>
        <v>883.31569988851368</v>
      </c>
      <c r="U183" s="19">
        <f t="shared" si="25"/>
        <v>257.63374580081648</v>
      </c>
      <c r="V183" s="395">
        <f t="shared" si="32"/>
        <v>625.68195408769725</v>
      </c>
      <c r="Y183">
        <v>30</v>
      </c>
      <c r="Z183" s="63">
        <f t="shared" si="26"/>
        <v>89.352293113154587</v>
      </c>
      <c r="AA183" s="63">
        <f t="shared" si="27"/>
        <v>506.32966097454266</v>
      </c>
      <c r="AB183" s="63">
        <f t="shared" si="33"/>
        <v>625.68195408769725</v>
      </c>
    </row>
    <row r="184" spans="1:29">
      <c r="A184" s="75">
        <v>91</v>
      </c>
      <c r="B184" s="76">
        <v>2111</v>
      </c>
      <c r="C184" s="77">
        <f t="shared" si="34"/>
        <v>1221.9151053779974</v>
      </c>
      <c r="E184" s="19">
        <f t="shared" si="28"/>
        <v>879.7788758721581</v>
      </c>
      <c r="F184" s="19">
        <f t="shared" si="29"/>
        <v>256.60217212937943</v>
      </c>
      <c r="G184" s="395">
        <f t="shared" si="30"/>
        <v>623.17670374277873</v>
      </c>
      <c r="J184">
        <v>30</v>
      </c>
      <c r="K184" s="63">
        <f t="shared" si="22"/>
        <v>88.976505561416801</v>
      </c>
      <c r="L184" s="63">
        <f t="shared" si="23"/>
        <v>504.20019818136188</v>
      </c>
      <c r="M184" s="63">
        <f t="shared" si="31"/>
        <v>623.17670374277873</v>
      </c>
      <c r="P184" s="75">
        <v>91</v>
      </c>
      <c r="Q184" s="76">
        <v>2111</v>
      </c>
      <c r="R184" s="77">
        <f t="shared" si="35"/>
        <v>1236.6419798439192</v>
      </c>
      <c r="T184" s="19">
        <f t="shared" si="24"/>
        <v>890.38222548762178</v>
      </c>
      <c r="U184" s="19">
        <f t="shared" si="25"/>
        <v>259.69481576722302</v>
      </c>
      <c r="V184" s="395">
        <f t="shared" si="32"/>
        <v>630.68740972039882</v>
      </c>
      <c r="Y184">
        <v>30</v>
      </c>
      <c r="Z184" s="63">
        <f t="shared" si="26"/>
        <v>90.103111458059814</v>
      </c>
      <c r="AA184" s="63">
        <f t="shared" si="27"/>
        <v>510.58429826233896</v>
      </c>
      <c r="AB184" s="63">
        <f t="shared" si="33"/>
        <v>630.68740972039882</v>
      </c>
    </row>
    <row r="185" spans="1:29">
      <c r="A185" s="75">
        <v>92</v>
      </c>
      <c r="B185" s="76">
        <v>2112</v>
      </c>
      <c r="C185" s="77">
        <f t="shared" si="34"/>
        <v>1231.6904262210214</v>
      </c>
      <c r="E185" s="19">
        <f t="shared" si="28"/>
        <v>886.81710687913539</v>
      </c>
      <c r="F185" s="19">
        <f t="shared" si="29"/>
        <v>258.65498950641449</v>
      </c>
      <c r="G185" s="395">
        <f t="shared" si="30"/>
        <v>628.1621173727209</v>
      </c>
      <c r="J185">
        <v>30</v>
      </c>
      <c r="K185" s="63">
        <f t="shared" si="22"/>
        <v>89.724317605908126</v>
      </c>
      <c r="L185" s="63">
        <f t="shared" si="23"/>
        <v>508.43779976681276</v>
      </c>
      <c r="M185" s="63">
        <f t="shared" si="31"/>
        <v>628.1621173727209</v>
      </c>
      <c r="P185" s="75">
        <v>92</v>
      </c>
      <c r="Q185" s="76">
        <v>2112</v>
      </c>
      <c r="R185" s="77">
        <f t="shared" si="35"/>
        <v>1246.5351156826705</v>
      </c>
      <c r="T185" s="19">
        <f t="shared" si="24"/>
        <v>897.50528329152269</v>
      </c>
      <c r="U185" s="19">
        <f t="shared" si="25"/>
        <v>261.77237429336077</v>
      </c>
      <c r="V185" s="395">
        <f t="shared" si="32"/>
        <v>635.73290899816197</v>
      </c>
      <c r="Y185">
        <v>30</v>
      </c>
      <c r="Z185" s="63">
        <f t="shared" si="26"/>
        <v>90.859936349724293</v>
      </c>
      <c r="AA185" s="63">
        <f t="shared" si="27"/>
        <v>514.87297264843767</v>
      </c>
      <c r="AB185" s="63">
        <f t="shared" si="33"/>
        <v>635.73290899816197</v>
      </c>
    </row>
    <row r="186" spans="1:29">
      <c r="A186" s="75">
        <v>93</v>
      </c>
      <c r="B186" s="76">
        <v>2113</v>
      </c>
      <c r="C186" s="77">
        <f t="shared" si="34"/>
        <v>1241.5439496307897</v>
      </c>
      <c r="E186" s="19">
        <f t="shared" si="28"/>
        <v>893.91164373416859</v>
      </c>
      <c r="F186" s="19">
        <f t="shared" si="29"/>
        <v>260.72422942246584</v>
      </c>
      <c r="G186" s="395">
        <f t="shared" si="30"/>
        <v>633.1874143117027</v>
      </c>
      <c r="J186">
        <v>30</v>
      </c>
      <c r="K186" s="63">
        <f t="shared" si="22"/>
        <v>90.478112146755407</v>
      </c>
      <c r="L186" s="63">
        <f t="shared" si="23"/>
        <v>512.7093021649473</v>
      </c>
      <c r="M186" s="63">
        <f t="shared" si="31"/>
        <v>633.1874143117027</v>
      </c>
      <c r="P186" s="75">
        <v>93</v>
      </c>
      <c r="Q186" s="76">
        <v>2113</v>
      </c>
      <c r="R186" s="77">
        <f t="shared" si="35"/>
        <v>1256.5073966081318</v>
      </c>
      <c r="T186" s="19">
        <f t="shared" si="24"/>
        <v>904.68532555785487</v>
      </c>
      <c r="U186" s="19">
        <f t="shared" si="25"/>
        <v>263.86655328770769</v>
      </c>
      <c r="V186" s="395">
        <f t="shared" si="32"/>
        <v>640.81877227014718</v>
      </c>
      <c r="Y186">
        <v>30</v>
      </c>
      <c r="Z186" s="63">
        <f t="shared" si="26"/>
        <v>91.62281584052208</v>
      </c>
      <c r="AA186" s="63">
        <f t="shared" si="27"/>
        <v>519.19595642962508</v>
      </c>
      <c r="AB186" s="63">
        <f t="shared" si="33"/>
        <v>640.81877227014718</v>
      </c>
    </row>
    <row r="187" spans="1:29">
      <c r="A187" s="75">
        <v>94</v>
      </c>
      <c r="B187" s="76">
        <v>2114</v>
      </c>
      <c r="C187" s="77">
        <f t="shared" si="34"/>
        <v>1251.4763012278361</v>
      </c>
      <c r="E187" s="19">
        <f t="shared" si="28"/>
        <v>901.06293688404196</v>
      </c>
      <c r="F187" s="19">
        <f t="shared" si="29"/>
        <v>262.81002325784556</v>
      </c>
      <c r="G187" s="395">
        <f t="shared" si="30"/>
        <v>638.25291362619646</v>
      </c>
      <c r="J187">
        <v>30</v>
      </c>
      <c r="K187" s="63">
        <f t="shared" si="22"/>
        <v>91.237937043929463</v>
      </c>
      <c r="L187" s="63">
        <f t="shared" si="23"/>
        <v>517.01497658226697</v>
      </c>
      <c r="M187" s="63">
        <f t="shared" si="31"/>
        <v>638.25291362619646</v>
      </c>
      <c r="N187" s="71" t="s">
        <v>93</v>
      </c>
      <c r="P187" s="75">
        <v>94</v>
      </c>
      <c r="Q187" s="76">
        <v>2114</v>
      </c>
      <c r="R187" s="77">
        <f t="shared" si="35"/>
        <v>1266.5594557809968</v>
      </c>
      <c r="T187" s="19">
        <f t="shared" si="24"/>
        <v>911.92280816231766</v>
      </c>
      <c r="U187" s="19">
        <f t="shared" si="25"/>
        <v>265.97748571400933</v>
      </c>
      <c r="V187" s="395">
        <f t="shared" si="32"/>
        <v>645.94532244830839</v>
      </c>
      <c r="Y187">
        <v>30</v>
      </c>
      <c r="Z187" s="63">
        <f t="shared" si="26"/>
        <v>92.391798367246253</v>
      </c>
      <c r="AA187" s="63">
        <f t="shared" si="27"/>
        <v>523.55352408106216</v>
      </c>
      <c r="AB187" s="63">
        <f t="shared" si="33"/>
        <v>645.94532244830839</v>
      </c>
      <c r="AC187" s="71" t="s">
        <v>93</v>
      </c>
    </row>
    <row r="188" spans="1:29">
      <c r="A188" s="75">
        <v>95</v>
      </c>
      <c r="B188" s="76">
        <v>2115</v>
      </c>
      <c r="C188" s="77">
        <f t="shared" si="34"/>
        <v>1261.4881116376587</v>
      </c>
      <c r="E188" s="19">
        <f t="shared" si="28"/>
        <v>908.27144037911421</v>
      </c>
      <c r="F188" s="19">
        <f t="shared" si="29"/>
        <v>264.91250344390829</v>
      </c>
      <c r="G188" s="395">
        <f t="shared" si="30"/>
        <v>643.35893693520597</v>
      </c>
      <c r="J188">
        <v>30</v>
      </c>
      <c r="K188" s="63">
        <f t="shared" si="22"/>
        <v>92.003840540280891</v>
      </c>
      <c r="L188" s="63">
        <f t="shared" si="23"/>
        <v>521.35509639492511</v>
      </c>
      <c r="M188" s="63">
        <f t="shared" si="31"/>
        <v>643.35893693520597</v>
      </c>
      <c r="N188" s="72" t="s">
        <v>80</v>
      </c>
      <c r="P188" s="75">
        <v>95</v>
      </c>
      <c r="Q188" s="76">
        <v>2115</v>
      </c>
      <c r="R188" s="77">
        <f t="shared" si="35"/>
        <v>1276.6919314272448</v>
      </c>
      <c r="T188" s="19">
        <f t="shared" si="24"/>
        <v>919.2181906276162</v>
      </c>
      <c r="U188" s="19">
        <f t="shared" si="25"/>
        <v>268.10530559972136</v>
      </c>
      <c r="V188" s="395">
        <f t="shared" si="32"/>
        <v>651.11288502789489</v>
      </c>
      <c r="Y188">
        <v>30</v>
      </c>
      <c r="Z188" s="63">
        <f t="shared" si="26"/>
        <v>93.166932754184231</v>
      </c>
      <c r="AA188" s="63">
        <f t="shared" si="27"/>
        <v>527.94595227371065</v>
      </c>
      <c r="AB188" s="63">
        <f t="shared" si="33"/>
        <v>651.11288502789489</v>
      </c>
      <c r="AC188" s="72" t="s">
        <v>80</v>
      </c>
    </row>
    <row r="189" spans="1:29">
      <c r="A189" s="75">
        <v>96</v>
      </c>
      <c r="B189" s="76">
        <v>2116</v>
      </c>
      <c r="C189" s="77">
        <f t="shared" si="34"/>
        <v>1271.5800165307598</v>
      </c>
      <c r="E189" s="19">
        <f t="shared" si="28"/>
        <v>915.53761190214709</v>
      </c>
      <c r="F189" s="19">
        <f t="shared" si="29"/>
        <v>267.03180347145957</v>
      </c>
      <c r="G189" s="395">
        <f t="shared" si="30"/>
        <v>648.50580843068747</v>
      </c>
      <c r="J189">
        <v>30</v>
      </c>
      <c r="K189" s="63">
        <f t="shared" si="22"/>
        <v>92.775871264603111</v>
      </c>
      <c r="L189" s="63">
        <f t="shared" si="23"/>
        <v>525.72993716608437</v>
      </c>
      <c r="M189" s="63">
        <f t="shared" si="31"/>
        <v>648.50580843068747</v>
      </c>
      <c r="N189" s="72" t="s">
        <v>95</v>
      </c>
      <c r="P189" s="75">
        <v>96</v>
      </c>
      <c r="Q189" s="76">
        <v>2116</v>
      </c>
      <c r="R189" s="77">
        <f t="shared" si="35"/>
        <v>1286.9054668786628</v>
      </c>
      <c r="T189" s="19">
        <f t="shared" si="24"/>
        <v>926.57193615263714</v>
      </c>
      <c r="U189" s="19">
        <f t="shared" si="25"/>
        <v>270.25014804451916</v>
      </c>
      <c r="V189" s="395">
        <f t="shared" si="32"/>
        <v>656.32178810811797</v>
      </c>
      <c r="Y189">
        <v>30</v>
      </c>
      <c r="Z189" s="63">
        <f t="shared" si="26"/>
        <v>93.948268216217699</v>
      </c>
      <c r="AA189" s="63">
        <f t="shared" si="27"/>
        <v>532.37351989190029</v>
      </c>
      <c r="AB189" s="63">
        <f t="shared" si="33"/>
        <v>656.32178810811797</v>
      </c>
      <c r="AC189" s="72" t="s">
        <v>95</v>
      </c>
    </row>
    <row r="190" spans="1:29" ht="16" thickBot="1">
      <c r="A190" s="75">
        <v>97</v>
      </c>
      <c r="B190" s="76">
        <v>2117</v>
      </c>
      <c r="C190" s="393">
        <f t="shared" si="34"/>
        <v>1281.7526566630058</v>
      </c>
      <c r="E190" s="187">
        <f t="shared" si="28"/>
        <v>922.8619127973642</v>
      </c>
      <c r="F190" s="19">
        <f t="shared" si="29"/>
        <v>269.1680578992312</v>
      </c>
      <c r="G190" s="397">
        <f t="shared" si="30"/>
        <v>653.69385489813294</v>
      </c>
      <c r="J190">
        <v>30</v>
      </c>
      <c r="K190" s="78">
        <f t="shared" ref="K190" si="36">(G190-J190)*0.15</f>
        <v>93.554078234719938</v>
      </c>
      <c r="L190" s="65">
        <f t="shared" si="23"/>
        <v>530.13977666341293</v>
      </c>
      <c r="M190" s="78">
        <f t="shared" si="31"/>
        <v>653.69385489813283</v>
      </c>
      <c r="N190" s="73" t="s">
        <v>74</v>
      </c>
      <c r="P190" s="75">
        <v>97</v>
      </c>
      <c r="Q190" s="76">
        <v>2117</v>
      </c>
      <c r="R190" s="393">
        <f t="shared" si="35"/>
        <v>1297.2007106136921</v>
      </c>
      <c r="T190" s="187">
        <f t="shared" si="24"/>
        <v>933.98451164185826</v>
      </c>
      <c r="U190" s="187">
        <f t="shared" si="25"/>
        <v>272.41214922887531</v>
      </c>
      <c r="V190" s="397">
        <f t="shared" si="32"/>
        <v>661.57236241298301</v>
      </c>
      <c r="Y190">
        <v>30</v>
      </c>
      <c r="Z190" s="78">
        <f t="shared" ref="Z190" si="37">(V190-Y190)*0.15</f>
        <v>94.735854361947446</v>
      </c>
      <c r="AA190" s="65">
        <f t="shared" si="27"/>
        <v>536.83650805103559</v>
      </c>
      <c r="AB190" s="78">
        <f t="shared" si="33"/>
        <v>661.57236241298301</v>
      </c>
      <c r="AC190" s="73" t="s">
        <v>74</v>
      </c>
    </row>
    <row r="191" spans="1:29" ht="16" thickTop="1">
      <c r="C191" s="394">
        <f>SUM(C94:C190)</f>
        <v>85480.350271619522</v>
      </c>
      <c r="E191" s="19">
        <f>SUM(E94:E190)</f>
        <v>61545.852195566062</v>
      </c>
      <c r="F191" s="19"/>
      <c r="G191" s="395">
        <f>SUM(G94:G190)</f>
        <v>43594.978638525958</v>
      </c>
      <c r="J191" s="32"/>
      <c r="K191" s="32"/>
      <c r="L191" s="16">
        <f>SUM(L94:L190)</f>
        <v>34582.23184274706</v>
      </c>
      <c r="M191" s="16"/>
      <c r="N191" s="66">
        <f>SUM(L94:L190)/1000</f>
        <v>34.582231842747063</v>
      </c>
      <c r="R191" s="394">
        <f>SUM(R94:R190)</f>
        <v>86498.21339068636</v>
      </c>
      <c r="T191" s="19">
        <f>SUM(T94:T190)</f>
        <v>62278.713641294198</v>
      </c>
      <c r="U191" s="19"/>
      <c r="V191" s="395">
        <f>SUM(V94:V190)</f>
        <v>44114.08882925006</v>
      </c>
      <c r="Y191" s="32"/>
      <c r="Z191" s="32"/>
      <c r="AA191" s="16">
        <f>SUM(AA94:AA190)</f>
        <v>35023.475504862545</v>
      </c>
      <c r="AB191" s="16"/>
      <c r="AC191" s="66">
        <f>SUM(AA94:AA190)/1000</f>
        <v>35.023475504862546</v>
      </c>
    </row>
    <row r="193" spans="2:17">
      <c r="B193" s="74" t="s">
        <v>76</v>
      </c>
      <c r="Q193" s="74" t="s">
        <v>76</v>
      </c>
    </row>
    <row r="196" spans="2:17">
      <c r="B196" t="s">
        <v>517</v>
      </c>
    </row>
    <row r="197" spans="2:17">
      <c r="C197" s="27">
        <f>Introduction!C176</f>
        <v>70766.023921334752</v>
      </c>
    </row>
    <row r="199" spans="2:17">
      <c r="B199" t="s">
        <v>518</v>
      </c>
      <c r="C199" s="27">
        <f>C191-C197</f>
        <v>14714.326350284769</v>
      </c>
      <c r="D199" s="395">
        <f>C199*0.72</f>
        <v>10594.314972205033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50" zoomScale="125" zoomScaleNormal="125" zoomScalePageLayoutView="125" workbookViewId="0">
      <selection activeCell="B71" sqref="B71"/>
    </sheetView>
  </sheetViews>
  <sheetFormatPr baseColWidth="10" defaultRowHeight="15" x14ac:dyDescent="0"/>
  <cols>
    <col min="1" max="1" width="17.33203125" customWidth="1"/>
    <col min="2" max="2" width="14.5" customWidth="1"/>
    <col min="3" max="3" width="11.1640625" bestFit="1" customWidth="1"/>
    <col min="4" max="4" width="12.6640625" bestFit="1" customWidth="1"/>
    <col min="5" max="5" width="16.83203125" customWidth="1"/>
    <col min="6" max="6" width="11.6640625" bestFit="1" customWidth="1"/>
    <col min="7" max="7" width="13.83203125" customWidth="1"/>
    <col min="8" max="8" width="12.6640625" bestFit="1" customWidth="1"/>
    <col min="9" max="9" width="14.33203125" customWidth="1"/>
  </cols>
  <sheetData>
    <row r="1" spans="1:6">
      <c r="A1" t="s">
        <v>154</v>
      </c>
    </row>
    <row r="2" spans="1:6">
      <c r="A2" t="s">
        <v>157</v>
      </c>
    </row>
    <row r="4" spans="1:6">
      <c r="A4" s="10"/>
      <c r="B4" s="2" t="s">
        <v>28</v>
      </c>
      <c r="C4" s="10"/>
      <c r="D4" s="10"/>
    </row>
    <row r="5" spans="1:6">
      <c r="A5" s="10" t="s">
        <v>16</v>
      </c>
      <c r="B5" s="13" t="s">
        <v>27</v>
      </c>
      <c r="C5" s="10"/>
      <c r="D5" s="10"/>
    </row>
    <row r="6" spans="1:6">
      <c r="A6" s="10" t="s">
        <v>155</v>
      </c>
      <c r="B6" s="2" t="s">
        <v>4</v>
      </c>
      <c r="C6" s="10" t="s">
        <v>14</v>
      </c>
      <c r="D6" s="2" t="s">
        <v>15</v>
      </c>
    </row>
    <row r="7" spans="1:6">
      <c r="A7" s="4">
        <v>2031</v>
      </c>
      <c r="B7" s="6">
        <v>632.6</v>
      </c>
      <c r="C7" s="10">
        <v>0.72</v>
      </c>
      <c r="D7" s="12">
        <f>B7*C7</f>
        <v>455.47199999999998</v>
      </c>
    </row>
    <row r="8" spans="1:6">
      <c r="A8" s="10" t="s">
        <v>158</v>
      </c>
      <c r="B8" s="118">
        <f>'60M_pass_2117'!H53</f>
        <v>659.14333333333354</v>
      </c>
      <c r="C8" s="10">
        <v>0.72</v>
      </c>
      <c r="D8" s="120">
        <f>B8*C8</f>
        <v>474.58320000000015</v>
      </c>
    </row>
    <row r="10" spans="1:6">
      <c r="A10" s="10" t="s">
        <v>159</v>
      </c>
      <c r="F10" s="2" t="s">
        <v>15</v>
      </c>
    </row>
    <row r="11" spans="1:6">
      <c r="A11" s="14" t="s">
        <v>160</v>
      </c>
      <c r="F11" s="12">
        <f>0.08*3100</f>
        <v>248</v>
      </c>
    </row>
    <row r="12" spans="1:6" ht="16" thickBot="1">
      <c r="A12" s="30" t="s">
        <v>161</v>
      </c>
      <c r="B12" s="30"/>
      <c r="C12" s="30"/>
      <c r="D12" s="30"/>
      <c r="E12" s="30"/>
      <c r="F12" s="119">
        <f>F13-F11</f>
        <v>226.58320000000015</v>
      </c>
    </row>
    <row r="13" spans="1:6" ht="16" thickTop="1">
      <c r="A13" s="75" t="s">
        <v>162</v>
      </c>
      <c r="F13" s="120">
        <f>D8</f>
        <v>474.58320000000015</v>
      </c>
    </row>
    <row r="14" spans="1:6">
      <c r="D14" s="12"/>
    </row>
    <row r="15" spans="1:6">
      <c r="A15" t="s">
        <v>165</v>
      </c>
      <c r="D15" s="12"/>
    </row>
    <row r="16" spans="1:6">
      <c r="A16" s="14" t="s">
        <v>20</v>
      </c>
      <c r="B16" s="16"/>
      <c r="C16" s="16"/>
      <c r="D16" s="19"/>
    </row>
    <row r="17" spans="1:5">
      <c r="A17" s="10" t="s">
        <v>169</v>
      </c>
      <c r="B17" s="16" t="s">
        <v>84</v>
      </c>
      <c r="C17" s="16"/>
      <c r="D17" s="19"/>
    </row>
    <row r="18" spans="1:5">
      <c r="A18" s="10" t="s">
        <v>18</v>
      </c>
      <c r="B18" s="28">
        <f>B7</f>
        <v>632.6</v>
      </c>
      <c r="C18" s="8" t="s">
        <v>61</v>
      </c>
      <c r="D18" s="33" t="s">
        <v>33</v>
      </c>
    </row>
    <row r="19" spans="1:5" ht="16" thickBot="1">
      <c r="A19" s="126" t="s">
        <v>170</v>
      </c>
      <c r="B19" s="57">
        <f>B7*1.5</f>
        <v>948.90000000000009</v>
      </c>
      <c r="C19" s="36" t="s">
        <v>62</v>
      </c>
      <c r="D19" s="36" t="s">
        <v>29</v>
      </c>
    </row>
    <row r="20" spans="1:5">
      <c r="A20" t="s">
        <v>166</v>
      </c>
      <c r="B20" s="27">
        <f>IF(B19&gt;B18,B18,B19)</f>
        <v>632.6</v>
      </c>
      <c r="C20" s="124">
        <v>0.72</v>
      </c>
      <c r="D20" s="11">
        <f>B20*C20</f>
        <v>455.47199999999998</v>
      </c>
    </row>
    <row r="21" spans="1:5">
      <c r="A21" s="29" t="s">
        <v>32</v>
      </c>
      <c r="B21" s="27">
        <f>IF(B19&gt;B18*1.15,B18*0.15,B19-B20)</f>
        <v>94.89</v>
      </c>
      <c r="C21" s="124">
        <f>C20</f>
        <v>0.72</v>
      </c>
      <c r="D21" s="11">
        <f>B21*C21</f>
        <v>68.320799999999991</v>
      </c>
    </row>
    <row r="22" spans="1:5">
      <c r="A22" t="s">
        <v>24</v>
      </c>
      <c r="B22" s="27">
        <f>IF(B19&gt;B18*1.4,B18*0.25,B19-(B20+B21))</f>
        <v>158.15</v>
      </c>
      <c r="C22" s="124">
        <f>C20*0.8</f>
        <v>0.57599999999999996</v>
      </c>
      <c r="D22" s="11">
        <f>B22*C22</f>
        <v>91.094399999999993</v>
      </c>
    </row>
    <row r="23" spans="1:5" ht="16" thickBot="1">
      <c r="A23" s="30" t="s">
        <v>30</v>
      </c>
      <c r="B23" s="18">
        <f>IF(B19&gt;B18*1.4,B19-B18*1.4,0)</f>
        <v>63.260000000000105</v>
      </c>
      <c r="C23" s="127">
        <v>0.21</v>
      </c>
      <c r="D23" s="34">
        <f>B23*C23</f>
        <v>13.284600000000021</v>
      </c>
    </row>
    <row r="24" spans="1:5" ht="16" thickTop="1">
      <c r="B24" s="27">
        <f>SUM(B20:B23)</f>
        <v>948.90000000000009</v>
      </c>
      <c r="D24" s="11">
        <f>SUM(D20:D23)</f>
        <v>628.17179999999996</v>
      </c>
    </row>
    <row r="26" spans="1:5">
      <c r="A26" t="s">
        <v>171</v>
      </c>
    </row>
    <row r="27" spans="1:5">
      <c r="A27" s="10" t="s">
        <v>174</v>
      </c>
    </row>
    <row r="28" spans="1:5">
      <c r="A28" t="s">
        <v>164</v>
      </c>
    </row>
    <row r="29" spans="1:5">
      <c r="A29" s="123" t="s">
        <v>158</v>
      </c>
      <c r="B29" s="16" t="s">
        <v>84</v>
      </c>
      <c r="C29" s="10" t="s">
        <v>163</v>
      </c>
    </row>
    <row r="30" spans="1:5">
      <c r="A30" s="45" t="s">
        <v>167</v>
      </c>
      <c r="B30" s="118">
        <f>'60M_pass_2117'!O53</f>
        <v>698.48333333333335</v>
      </c>
      <c r="C30" s="121">
        <f>D30/B30</f>
        <v>0.67944813763153522</v>
      </c>
      <c r="D30" s="122">
        <f>F13</f>
        <v>474.58320000000015</v>
      </c>
      <c r="E30" t="s">
        <v>168</v>
      </c>
    </row>
    <row r="32" spans="1:5">
      <c r="A32" s="14" t="s">
        <v>20</v>
      </c>
      <c r="B32" s="16"/>
      <c r="C32" s="16"/>
      <c r="D32" s="19"/>
    </row>
    <row r="33" spans="1:6">
      <c r="A33" s="14"/>
      <c r="B33" s="16" t="s">
        <v>84</v>
      </c>
      <c r="C33" s="16"/>
      <c r="D33" s="19"/>
    </row>
    <row r="34" spans="1:6">
      <c r="A34" s="10" t="s">
        <v>18</v>
      </c>
      <c r="B34" s="16">
        <f>B30</f>
        <v>698.48333333333335</v>
      </c>
      <c r="C34" s="8" t="s">
        <v>61</v>
      </c>
      <c r="D34" s="33" t="s">
        <v>33</v>
      </c>
    </row>
    <row r="35" spans="1:6" ht="16" thickBot="1">
      <c r="A35" s="35" t="s">
        <v>172</v>
      </c>
      <c r="B35" s="57">
        <f>B19</f>
        <v>948.90000000000009</v>
      </c>
      <c r="C35" s="36" t="s">
        <v>62</v>
      </c>
      <c r="D35" s="36" t="s">
        <v>29</v>
      </c>
    </row>
    <row r="36" spans="1:6">
      <c r="A36" t="s">
        <v>166</v>
      </c>
      <c r="B36" s="27">
        <f>IF(B35&gt;B34,B34,B35)</f>
        <v>698.48333333333335</v>
      </c>
      <c r="C36" s="124">
        <f>C30</f>
        <v>0.67944813763153522</v>
      </c>
      <c r="D36" s="11">
        <f>B36*C36</f>
        <v>474.58320000000015</v>
      </c>
    </row>
    <row r="37" spans="1:6">
      <c r="A37" s="29" t="s">
        <v>32</v>
      </c>
      <c r="B37" s="27">
        <f>IF(B35&gt;B34*1.15,B34*0.15,B35-B36)</f>
        <v>104.77249999999999</v>
      </c>
      <c r="C37" s="124">
        <f>C36</f>
        <v>0.67944813763153522</v>
      </c>
      <c r="D37" s="11">
        <f>B37*C37</f>
        <v>71.187480000000022</v>
      </c>
    </row>
    <row r="38" spans="1:6">
      <c r="A38" t="s">
        <v>24</v>
      </c>
      <c r="B38" s="27">
        <f>IF(B35&gt;B34*1.4,B34*0.25,B35-(B36+B37))</f>
        <v>145.64416666666671</v>
      </c>
      <c r="C38" s="124">
        <f>C36*0.8</f>
        <v>0.54355851010522815</v>
      </c>
      <c r="D38" s="11">
        <f>B38*C38</f>
        <v>79.166126238850893</v>
      </c>
    </row>
    <row r="39" spans="1:6" ht="16" thickBot="1">
      <c r="A39" s="30" t="s">
        <v>30</v>
      </c>
      <c r="B39" s="18">
        <f>IF(B35&gt;B34*1.4,B35-B34*1.4,0)</f>
        <v>0</v>
      </c>
      <c r="C39" s="127">
        <v>0.21</v>
      </c>
      <c r="D39" s="34">
        <f>B39*C39</f>
        <v>0</v>
      </c>
      <c r="E39" s="30"/>
      <c r="F39" s="36" t="s">
        <v>29</v>
      </c>
    </row>
    <row r="40" spans="1:6" ht="16" thickTop="1">
      <c r="B40" s="27">
        <f>SUM(B36:B39)</f>
        <v>948.90000000000009</v>
      </c>
      <c r="D40" s="11">
        <f>SUM(D36:D39)</f>
        <v>624.93680623885109</v>
      </c>
      <c r="E40" t="s">
        <v>175</v>
      </c>
      <c r="F40" s="130">
        <f>D24-D40</f>
        <v>3.2349937611488713</v>
      </c>
    </row>
    <row r="42" spans="1:6">
      <c r="A42" t="s">
        <v>171</v>
      </c>
    </row>
    <row r="43" spans="1:6">
      <c r="A43" s="10" t="s">
        <v>173</v>
      </c>
    </row>
    <row r="44" spans="1:6">
      <c r="A44" t="s">
        <v>164</v>
      </c>
    </row>
    <row r="45" spans="1:6">
      <c r="A45" s="123" t="s">
        <v>158</v>
      </c>
      <c r="B45" s="16" t="s">
        <v>84</v>
      </c>
      <c r="C45" s="10" t="s">
        <v>163</v>
      </c>
    </row>
    <row r="46" spans="1:6">
      <c r="A46" s="45" t="s">
        <v>167</v>
      </c>
      <c r="B46" s="118">
        <f>'60M_pass_2117'!P53</f>
        <v>707.1966666666666</v>
      </c>
      <c r="C46" s="121">
        <f>D46/B46</f>
        <v>0.67107669248063984</v>
      </c>
      <c r="D46" s="122">
        <f>D30</f>
        <v>474.58320000000015</v>
      </c>
      <c r="E46" t="s">
        <v>168</v>
      </c>
    </row>
    <row r="48" spans="1:6">
      <c r="A48" s="14" t="s">
        <v>20</v>
      </c>
      <c r="B48" s="16"/>
      <c r="C48" s="16"/>
      <c r="D48" s="19"/>
    </row>
    <row r="49" spans="1:9">
      <c r="A49" s="14"/>
      <c r="B49" s="16" t="s">
        <v>84</v>
      </c>
      <c r="C49" s="16"/>
      <c r="D49" s="19"/>
    </row>
    <row r="50" spans="1:9">
      <c r="A50" s="10" t="s">
        <v>18</v>
      </c>
      <c r="B50" s="16">
        <f>B46</f>
        <v>707.1966666666666</v>
      </c>
      <c r="C50" s="8" t="s">
        <v>61</v>
      </c>
      <c r="D50" s="33" t="s">
        <v>33</v>
      </c>
    </row>
    <row r="51" spans="1:9" ht="16" thickBot="1">
      <c r="A51" s="35" t="s">
        <v>172</v>
      </c>
      <c r="B51" s="57">
        <f>B35</f>
        <v>948.90000000000009</v>
      </c>
      <c r="C51" s="36" t="s">
        <v>62</v>
      </c>
      <c r="D51" s="36" t="s">
        <v>29</v>
      </c>
    </row>
    <row r="52" spans="1:9">
      <c r="A52" t="s">
        <v>166</v>
      </c>
      <c r="B52" s="27">
        <f>IF(B51&gt;B50,B50,B51)</f>
        <v>707.1966666666666</v>
      </c>
      <c r="C52" s="124">
        <f>C46</f>
        <v>0.67107669248063984</v>
      </c>
      <c r="D52" s="11">
        <f>B52*C52</f>
        <v>474.5832000000002</v>
      </c>
      <c r="G52" s="16"/>
      <c r="H52" s="17"/>
      <c r="I52" s="19"/>
    </row>
    <row r="53" spans="1:9">
      <c r="A53" s="29" t="s">
        <v>32</v>
      </c>
      <c r="B53" s="27">
        <f>IF(B51&gt;B50*1.15,B50*0.15,B51-B52)</f>
        <v>106.07949999999998</v>
      </c>
      <c r="C53" s="124">
        <f>C52</f>
        <v>0.67107669248063984</v>
      </c>
      <c r="D53" s="11">
        <f>B53*C53</f>
        <v>71.187480000000022</v>
      </c>
      <c r="G53" s="16"/>
      <c r="H53" s="17"/>
      <c r="I53" s="19"/>
    </row>
    <row r="54" spans="1:9">
      <c r="A54" t="s">
        <v>24</v>
      </c>
      <c r="B54" s="27">
        <f>IF(B51&gt;B50*1.4,B50*0.25,B51-(B52+B53))</f>
        <v>135.62383333333355</v>
      </c>
      <c r="C54" s="125">
        <f>C52*0.8</f>
        <v>0.53686135398451185</v>
      </c>
      <c r="D54" s="11">
        <f>B54*C54</f>
        <v>72.811194795903219</v>
      </c>
    </row>
    <row r="55" spans="1:9" ht="16" thickBot="1">
      <c r="A55" s="30" t="s">
        <v>30</v>
      </c>
      <c r="B55" s="18">
        <f>IF(B51&gt;B50*1.4,B51-B50*1.4,0)</f>
        <v>0</v>
      </c>
      <c r="C55" s="31">
        <v>0.21</v>
      </c>
      <c r="D55" s="34">
        <f>B55*C55</f>
        <v>0</v>
      </c>
      <c r="E55" s="30"/>
      <c r="F55" s="36" t="s">
        <v>29</v>
      </c>
    </row>
    <row r="56" spans="1:9" ht="16" thickTop="1">
      <c r="B56" s="27">
        <f>SUM(B52:B55)</f>
        <v>948.90000000000009</v>
      </c>
      <c r="D56" s="11">
        <f>SUM(D52:D55)</f>
        <v>618.58187479590345</v>
      </c>
      <c r="E56" t="s">
        <v>176</v>
      </c>
      <c r="F56" s="130">
        <f>D40-D56</f>
        <v>6.3549314429476453</v>
      </c>
    </row>
    <row r="58" spans="1:9">
      <c r="A58" t="s">
        <v>178</v>
      </c>
    </row>
    <row r="59" spans="1:9" ht="30">
      <c r="A59" t="s">
        <v>16</v>
      </c>
      <c r="B59" t="s">
        <v>16</v>
      </c>
      <c r="C59" t="s">
        <v>16</v>
      </c>
      <c r="D59" s="20" t="s">
        <v>21</v>
      </c>
      <c r="E59" t="s">
        <v>16</v>
      </c>
      <c r="F59" s="20" t="s">
        <v>17</v>
      </c>
      <c r="G59" t="s">
        <v>16</v>
      </c>
      <c r="H59" s="21" t="s">
        <v>22</v>
      </c>
    </row>
    <row r="60" spans="1:9">
      <c r="A60" s="10" t="s">
        <v>18</v>
      </c>
      <c r="B60" s="10" t="s">
        <v>19</v>
      </c>
      <c r="C60" s="15" t="s">
        <v>23</v>
      </c>
      <c r="D60" s="22">
        <v>0.72</v>
      </c>
      <c r="E60" s="10" t="s">
        <v>24</v>
      </c>
      <c r="F60" s="26">
        <f>D60*0.8</f>
        <v>0.57599999999999996</v>
      </c>
      <c r="G60" s="10" t="s">
        <v>25</v>
      </c>
      <c r="H60" s="23">
        <v>0.21</v>
      </c>
      <c r="I60" t="s">
        <v>26</v>
      </c>
    </row>
    <row r="61" spans="1:9">
      <c r="A61" s="16">
        <v>100</v>
      </c>
      <c r="B61" s="24">
        <v>100</v>
      </c>
      <c r="C61" s="16">
        <f>IF(B61&gt;A61*1.15,A61*1.15,B61)</f>
        <v>100</v>
      </c>
      <c r="D61" s="19">
        <f>C61*D$60</f>
        <v>72</v>
      </c>
      <c r="E61" s="16">
        <f>IF(B61&gt;A61*1.4,A61*0.25,B61-C61)</f>
        <v>0</v>
      </c>
      <c r="F61" s="19">
        <f>E61*F60</f>
        <v>0</v>
      </c>
      <c r="G61" s="16">
        <f>IF(B61&gt;A61*1.4,B61-A61*1.4,0)</f>
        <v>0</v>
      </c>
      <c r="H61" s="25">
        <f>G61*H60</f>
        <v>0</v>
      </c>
      <c r="I61" s="19">
        <f>D61+F61+H61</f>
        <v>72</v>
      </c>
    </row>
    <row r="64" spans="1:9">
      <c r="A64" s="10" t="s">
        <v>47</v>
      </c>
    </row>
    <row r="66" spans="1:1">
      <c r="A66" t="s">
        <v>48</v>
      </c>
    </row>
    <row r="67" spans="1:1">
      <c r="A67" t="s">
        <v>49</v>
      </c>
    </row>
    <row r="68" spans="1:1">
      <c r="A68" t="s">
        <v>50</v>
      </c>
    </row>
    <row r="69" spans="1:1">
      <c r="A69" t="s">
        <v>51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zoomScale="125" zoomScaleNormal="125" zoomScalePageLayoutView="125" workbookViewId="0">
      <selection activeCell="A19" sqref="A19:A115"/>
    </sheetView>
  </sheetViews>
  <sheetFormatPr baseColWidth="10" defaultRowHeight="15" x14ac:dyDescent="0"/>
  <cols>
    <col min="1" max="1" width="6.6640625" customWidth="1"/>
    <col min="4" max="4" width="9.1640625" customWidth="1"/>
    <col min="5" max="5" width="13.6640625" bestFit="1" customWidth="1"/>
    <col min="10" max="10" width="9.1640625" customWidth="1"/>
    <col min="11" max="11" width="11.33203125" customWidth="1"/>
    <col min="12" max="13" width="15.1640625" customWidth="1"/>
    <col min="14" max="14" width="7.1640625" customWidth="1"/>
    <col min="15" max="15" width="13.33203125" bestFit="1" customWidth="1"/>
  </cols>
  <sheetData>
    <row r="1" spans="2:13" ht="16">
      <c r="B1" s="38" t="s">
        <v>34</v>
      </c>
      <c r="C1" s="38"/>
    </row>
    <row r="2" spans="2:13" ht="13" customHeight="1">
      <c r="B2" s="38" t="s">
        <v>35</v>
      </c>
      <c r="C2" s="38"/>
    </row>
    <row r="3" spans="2:13">
      <c r="B3" s="39" t="s">
        <v>36</v>
      </c>
      <c r="C3" s="39"/>
    </row>
    <row r="5" spans="2:13" ht="16">
      <c r="B5" s="38" t="s">
        <v>37</v>
      </c>
      <c r="C5" s="38"/>
    </row>
    <row r="6" spans="2:13" ht="16">
      <c r="B6" s="38" t="s">
        <v>38</v>
      </c>
      <c r="C6" s="38"/>
    </row>
    <row r="7" spans="2:13">
      <c r="B7" s="39" t="s">
        <v>39</v>
      </c>
      <c r="C7" s="39"/>
    </row>
    <row r="9" spans="2:13">
      <c r="B9" s="10" t="s">
        <v>40</v>
      </c>
      <c r="C9" s="10"/>
    </row>
    <row r="10" spans="2:13">
      <c r="B10" s="10" t="s">
        <v>41</v>
      </c>
      <c r="C10" s="10"/>
    </row>
    <row r="11" spans="2:13">
      <c r="B11" s="10" t="s">
        <v>42</v>
      </c>
      <c r="C11" s="10"/>
    </row>
    <row r="12" spans="2:13">
      <c r="B12" s="10"/>
      <c r="C12" s="10"/>
    </row>
    <row r="13" spans="2:13">
      <c r="B13" s="47" t="s">
        <v>46</v>
      </c>
      <c r="C13" s="47"/>
    </row>
    <row r="14" spans="2:13">
      <c r="B14" s="10"/>
      <c r="C14" s="10"/>
    </row>
    <row r="16" spans="2:13">
      <c r="B16" s="8"/>
      <c r="C16" t="s">
        <v>138</v>
      </c>
      <c r="E16" t="s">
        <v>137</v>
      </c>
      <c r="L16" s="10" t="s">
        <v>7</v>
      </c>
      <c r="M16" s="10" t="s">
        <v>11</v>
      </c>
    </row>
    <row r="17" spans="1:17">
      <c r="A17" t="s">
        <v>43</v>
      </c>
      <c r="B17" s="8"/>
      <c r="C17" t="s">
        <v>140</v>
      </c>
      <c r="E17" t="s">
        <v>86</v>
      </c>
      <c r="L17" t="s">
        <v>9</v>
      </c>
      <c r="M17" t="s">
        <v>52</v>
      </c>
    </row>
    <row r="18" spans="1:17">
      <c r="A18" t="s">
        <v>183</v>
      </c>
      <c r="B18" s="8" t="s">
        <v>43</v>
      </c>
      <c r="C18" t="s">
        <v>141</v>
      </c>
      <c r="E18" t="s">
        <v>139</v>
      </c>
      <c r="L18" t="s">
        <v>8</v>
      </c>
      <c r="M18" t="s">
        <v>8</v>
      </c>
    </row>
    <row r="19" spans="1:17">
      <c r="A19" s="8" t="s">
        <v>397</v>
      </c>
      <c r="B19" s="338">
        <v>2021</v>
      </c>
      <c r="C19" s="40">
        <f>E19/15</f>
        <v>4.84</v>
      </c>
      <c r="D19" s="40"/>
      <c r="E19" s="109">
        <v>72.599999999999994</v>
      </c>
      <c r="L19" s="49">
        <v>72.599999999999994</v>
      </c>
      <c r="M19" s="8">
        <f>L19</f>
        <v>72.599999999999994</v>
      </c>
    </row>
    <row r="20" spans="1:17">
      <c r="A20" s="8" t="s">
        <v>199</v>
      </c>
      <c r="B20" s="338">
        <v>2022</v>
      </c>
      <c r="C20" s="40">
        <f t="shared" ref="C20:C83" si="0">E20/15</f>
        <v>12.903333333333334</v>
      </c>
      <c r="D20" s="41">
        <v>1.6659999999999999</v>
      </c>
      <c r="E20" s="110">
        <f>ROUND(E19*(100%+D20),2)</f>
        <v>193.55</v>
      </c>
      <c r="K20" s="41">
        <v>1.6659999999999999</v>
      </c>
      <c r="L20" s="51">
        <f t="shared" ref="L20:L23" si="1">ROUND(L19*(100%+K20),1)</f>
        <v>193.6</v>
      </c>
      <c r="M20" s="8">
        <f t="shared" ref="M20:M23" si="2">L20</f>
        <v>193.6</v>
      </c>
      <c r="N20" t="s">
        <v>53</v>
      </c>
    </row>
    <row r="21" spans="1:17">
      <c r="A21" s="8" t="s">
        <v>200</v>
      </c>
      <c r="B21" s="338">
        <v>2023</v>
      </c>
      <c r="C21" s="40">
        <f t="shared" si="0"/>
        <v>16.361333333333331</v>
      </c>
      <c r="D21" s="42">
        <v>0.26800000000000002</v>
      </c>
      <c r="E21" s="110">
        <f t="shared" ref="E21:E84" si="3">ROUND(E20*(100%+D21),2)</f>
        <v>245.42</v>
      </c>
      <c r="K21" s="41">
        <v>0.4</v>
      </c>
      <c r="L21" s="51">
        <f t="shared" si="1"/>
        <v>271</v>
      </c>
      <c r="M21" s="8">
        <f t="shared" si="2"/>
        <v>271</v>
      </c>
      <c r="N21" t="s">
        <v>53</v>
      </c>
    </row>
    <row r="22" spans="1:17">
      <c r="A22" s="8" t="s">
        <v>201</v>
      </c>
      <c r="B22" s="338">
        <v>2024</v>
      </c>
      <c r="C22" s="40">
        <f t="shared" si="0"/>
        <v>33.32</v>
      </c>
      <c r="D22" s="41">
        <v>1.0365</v>
      </c>
      <c r="E22" s="110">
        <f t="shared" si="3"/>
        <v>499.8</v>
      </c>
      <c r="K22" s="41">
        <v>1.0365</v>
      </c>
      <c r="L22" s="51">
        <f t="shared" si="1"/>
        <v>551.9</v>
      </c>
      <c r="M22" s="8">
        <f t="shared" si="2"/>
        <v>551.9</v>
      </c>
      <c r="N22" t="s">
        <v>53</v>
      </c>
      <c r="Q22" s="14" t="s">
        <v>125</v>
      </c>
    </row>
    <row r="23" spans="1:17">
      <c r="A23" s="8" t="s">
        <v>202</v>
      </c>
      <c r="B23" s="338">
        <v>2025</v>
      </c>
      <c r="C23" s="40">
        <f t="shared" si="0"/>
        <v>37.138666666666673</v>
      </c>
      <c r="D23" s="42">
        <v>0.11459999999999999</v>
      </c>
      <c r="E23" s="110">
        <f t="shared" si="3"/>
        <v>557.08000000000004</v>
      </c>
      <c r="K23" s="42">
        <v>0.11459999999999999</v>
      </c>
      <c r="L23" s="51">
        <f t="shared" si="1"/>
        <v>615.1</v>
      </c>
      <c r="M23" s="8">
        <f t="shared" si="2"/>
        <v>615.1</v>
      </c>
      <c r="N23" t="s">
        <v>53</v>
      </c>
    </row>
    <row r="24" spans="1:17">
      <c r="A24" s="8" t="s">
        <v>203</v>
      </c>
      <c r="B24" s="339">
        <v>2026</v>
      </c>
      <c r="C24" s="40">
        <f t="shared" si="0"/>
        <v>39.590000000000003</v>
      </c>
      <c r="D24" s="42">
        <v>6.6000000000000003E-2</v>
      </c>
      <c r="E24" s="346">
        <f t="shared" si="3"/>
        <v>593.85</v>
      </c>
      <c r="K24" s="32"/>
      <c r="L24" s="55">
        <v>621</v>
      </c>
      <c r="M24" s="55">
        <v>630.70000000000005</v>
      </c>
    </row>
    <row r="25" spans="1:17">
      <c r="A25" s="8" t="s">
        <v>204</v>
      </c>
      <c r="B25" s="338">
        <v>2027</v>
      </c>
      <c r="C25" s="40">
        <f t="shared" si="0"/>
        <v>40.583999999999996</v>
      </c>
      <c r="D25" s="43">
        <v>2.5100000000000001E-2</v>
      </c>
      <c r="E25" s="110">
        <f t="shared" si="3"/>
        <v>608.76</v>
      </c>
      <c r="K25" s="50">
        <v>8.0000000000000002E-3</v>
      </c>
      <c r="L25" s="51">
        <f>ROUND(L24*(100%+K25),1)</f>
        <v>626</v>
      </c>
      <c r="M25" s="51">
        <f>ROUND(M24*(100%+K25),1)</f>
        <v>635.70000000000005</v>
      </c>
      <c r="N25" t="s">
        <v>53</v>
      </c>
    </row>
    <row r="26" spans="1:17">
      <c r="A26" s="8" t="s">
        <v>205</v>
      </c>
      <c r="B26" s="338">
        <v>2028</v>
      </c>
      <c r="C26" s="40">
        <f t="shared" si="0"/>
        <v>41.091333333333331</v>
      </c>
      <c r="D26" s="43">
        <v>1.2500000000000001E-2</v>
      </c>
      <c r="E26" s="110">
        <f t="shared" si="3"/>
        <v>616.37</v>
      </c>
      <c r="K26" s="50">
        <v>8.0000000000000002E-3</v>
      </c>
      <c r="L26" s="51">
        <f>ROUND(L25*(100%+K26),1)</f>
        <v>631</v>
      </c>
      <c r="M26" s="51">
        <f t="shared" ref="M26:M27" si="4">ROUND(M25*(100%+K26),1)</f>
        <v>640.79999999999995</v>
      </c>
      <c r="N26" t="s">
        <v>53</v>
      </c>
    </row>
    <row r="27" spans="1:17">
      <c r="A27" s="8" t="s">
        <v>206</v>
      </c>
      <c r="B27" s="338">
        <v>2029</v>
      </c>
      <c r="C27" s="40">
        <f t="shared" si="0"/>
        <v>41.531333333333336</v>
      </c>
      <c r="D27" s="43">
        <v>1.0699999999999999E-2</v>
      </c>
      <c r="E27" s="110">
        <f t="shared" si="3"/>
        <v>622.97</v>
      </c>
      <c r="K27" s="50">
        <v>8.0000000000000002E-3</v>
      </c>
      <c r="L27" s="51">
        <f t="shared" ref="L27:L28" si="5">ROUND(L26*(100%+K27),1)</f>
        <v>636</v>
      </c>
      <c r="M27" s="51">
        <f t="shared" si="4"/>
        <v>645.9</v>
      </c>
      <c r="N27" t="s">
        <v>53</v>
      </c>
    </row>
    <row r="28" spans="1:17">
      <c r="A28" s="8" t="s">
        <v>207</v>
      </c>
      <c r="B28" s="338">
        <v>2030</v>
      </c>
      <c r="C28" s="40">
        <f t="shared" si="0"/>
        <v>41.872</v>
      </c>
      <c r="D28" s="43">
        <v>8.2000000000000007E-3</v>
      </c>
      <c r="E28" s="110">
        <f t="shared" si="3"/>
        <v>628.08000000000004</v>
      </c>
      <c r="K28" s="50">
        <v>8.0000000000000002E-3</v>
      </c>
      <c r="L28" s="51">
        <f t="shared" si="5"/>
        <v>641.1</v>
      </c>
      <c r="M28" s="51">
        <f>ROUND(M27*(100%+K28),1)</f>
        <v>651.1</v>
      </c>
      <c r="N28" t="s">
        <v>53</v>
      </c>
    </row>
    <row r="29" spans="1:17">
      <c r="A29" s="8" t="s">
        <v>208</v>
      </c>
      <c r="B29" s="340">
        <v>2031</v>
      </c>
      <c r="C29" s="40">
        <f t="shared" si="0"/>
        <v>42.173333333333332</v>
      </c>
      <c r="D29" s="103">
        <v>7.1999999999999998E-3</v>
      </c>
      <c r="E29" s="346">
        <f t="shared" si="3"/>
        <v>632.6</v>
      </c>
      <c r="K29" s="32"/>
      <c r="L29" s="55">
        <v>645.9</v>
      </c>
      <c r="M29" s="55">
        <v>653.70000000000005</v>
      </c>
    </row>
    <row r="30" spans="1:17">
      <c r="A30" s="8" t="s">
        <v>209</v>
      </c>
      <c r="B30" s="338">
        <v>2032</v>
      </c>
      <c r="C30" s="40">
        <f t="shared" si="0"/>
        <v>42.401333333333334</v>
      </c>
      <c r="D30" s="43">
        <v>5.4000000000000003E-3</v>
      </c>
      <c r="E30" s="110">
        <f t="shared" si="3"/>
        <v>636.02</v>
      </c>
      <c r="K30" s="43">
        <v>8.0000000000000002E-3</v>
      </c>
      <c r="L30" s="48">
        <f>ROUND(L29*(100%+K30),1)</f>
        <v>651.1</v>
      </c>
      <c r="M30" s="48">
        <f>ROUND(M29*(100%+K30),1)</f>
        <v>658.9</v>
      </c>
    </row>
    <row r="31" spans="1:17">
      <c r="A31" s="8" t="s">
        <v>210</v>
      </c>
      <c r="B31" s="338">
        <v>2033</v>
      </c>
      <c r="C31" s="40">
        <f t="shared" si="0"/>
        <v>42.632666666666665</v>
      </c>
      <c r="D31" s="43">
        <v>5.45E-3</v>
      </c>
      <c r="E31" s="110">
        <f t="shared" si="3"/>
        <v>639.49</v>
      </c>
      <c r="K31" s="43">
        <v>8.0000000000000002E-3</v>
      </c>
      <c r="L31" s="48">
        <f t="shared" ref="L31:L48" si="6">ROUND(L30*(100%+K31),1)</f>
        <v>656.3</v>
      </c>
      <c r="M31" s="48">
        <f t="shared" ref="M31:M48" si="7">ROUND(M30*(100%+K31),1)</f>
        <v>664.2</v>
      </c>
    </row>
    <row r="32" spans="1:17">
      <c r="A32" s="8" t="s">
        <v>211</v>
      </c>
      <c r="B32" s="338">
        <v>2034</v>
      </c>
      <c r="C32" s="40">
        <f t="shared" si="0"/>
        <v>42.860666666666667</v>
      </c>
      <c r="D32" s="43">
        <v>5.3499999999999997E-3</v>
      </c>
      <c r="E32" s="110">
        <f t="shared" si="3"/>
        <v>642.91</v>
      </c>
      <c r="K32" s="43">
        <v>8.0000000000000002E-3</v>
      </c>
      <c r="L32" s="48">
        <f t="shared" si="6"/>
        <v>661.6</v>
      </c>
      <c r="M32" s="48">
        <f t="shared" si="7"/>
        <v>669.5</v>
      </c>
    </row>
    <row r="33" spans="1:17">
      <c r="A33" s="8" t="s">
        <v>212</v>
      </c>
      <c r="B33" s="338">
        <v>2035</v>
      </c>
      <c r="C33" s="40">
        <f t="shared" si="0"/>
        <v>43.091999999999999</v>
      </c>
      <c r="D33" s="43">
        <v>5.4000000000000003E-3</v>
      </c>
      <c r="E33" s="110">
        <f t="shared" si="3"/>
        <v>646.38</v>
      </c>
      <c r="K33" s="43">
        <v>8.0000000000000002E-3</v>
      </c>
      <c r="L33" s="48">
        <f t="shared" si="6"/>
        <v>666.9</v>
      </c>
      <c r="M33" s="48">
        <f t="shared" si="7"/>
        <v>674.9</v>
      </c>
    </row>
    <row r="34" spans="1:17">
      <c r="A34" s="81" t="s">
        <v>197</v>
      </c>
      <c r="B34" s="341">
        <v>2036</v>
      </c>
      <c r="C34" s="131">
        <f t="shared" si="0"/>
        <v>43.324666666666666</v>
      </c>
      <c r="D34" s="43">
        <v>5.4000000000000003E-3</v>
      </c>
      <c r="E34" s="132">
        <f t="shared" si="3"/>
        <v>649.87</v>
      </c>
      <c r="K34" s="43">
        <v>8.0000000000000002E-3</v>
      </c>
      <c r="L34" s="133">
        <f t="shared" si="6"/>
        <v>672.2</v>
      </c>
      <c r="M34" s="133">
        <f t="shared" si="7"/>
        <v>680.3</v>
      </c>
    </row>
    <row r="35" spans="1:17">
      <c r="A35" s="81" t="s">
        <v>316</v>
      </c>
      <c r="B35" s="338">
        <v>2037</v>
      </c>
      <c r="C35" s="40">
        <f t="shared" si="0"/>
        <v>43.56733333333333</v>
      </c>
      <c r="D35" s="43">
        <v>5.5999999999999999E-3</v>
      </c>
      <c r="E35" s="110">
        <f t="shared" si="3"/>
        <v>653.51</v>
      </c>
      <c r="K35" s="43">
        <v>8.0000000000000002E-3</v>
      </c>
      <c r="L35" s="48">
        <f t="shared" si="6"/>
        <v>677.6</v>
      </c>
      <c r="M35" s="48">
        <f t="shared" si="7"/>
        <v>685.7</v>
      </c>
    </row>
    <row r="36" spans="1:17">
      <c r="A36" s="81" t="s">
        <v>317</v>
      </c>
      <c r="B36" s="338">
        <v>2038</v>
      </c>
      <c r="C36" s="40">
        <f t="shared" si="0"/>
        <v>43.72</v>
      </c>
      <c r="D36" s="43">
        <v>3.5000000000000001E-3</v>
      </c>
      <c r="E36" s="110">
        <f t="shared" si="3"/>
        <v>655.8</v>
      </c>
      <c r="K36" s="43">
        <v>8.0000000000000002E-3</v>
      </c>
      <c r="L36" s="48">
        <f t="shared" si="6"/>
        <v>683</v>
      </c>
      <c r="M36" s="48">
        <f t="shared" si="7"/>
        <v>691.2</v>
      </c>
    </row>
    <row r="37" spans="1:17">
      <c r="A37" s="81" t="s">
        <v>318</v>
      </c>
      <c r="B37" s="338">
        <v>2039</v>
      </c>
      <c r="C37" s="40">
        <f t="shared" si="0"/>
        <v>43.877333333333333</v>
      </c>
      <c r="D37" s="43">
        <v>3.5999999999999999E-3</v>
      </c>
      <c r="E37" s="110">
        <f t="shared" si="3"/>
        <v>658.16</v>
      </c>
      <c r="K37" s="43">
        <v>8.0000000000000002E-3</v>
      </c>
      <c r="L37" s="48">
        <f t="shared" si="6"/>
        <v>688.5</v>
      </c>
      <c r="M37" s="48">
        <f t="shared" si="7"/>
        <v>696.7</v>
      </c>
    </row>
    <row r="38" spans="1:17">
      <c r="A38" s="81" t="s">
        <v>381</v>
      </c>
      <c r="B38" s="338">
        <v>2040</v>
      </c>
      <c r="C38" s="40">
        <f t="shared" si="0"/>
        <v>44.04</v>
      </c>
      <c r="D38" s="43">
        <v>3.7000000000000002E-3</v>
      </c>
      <c r="E38" s="110">
        <f t="shared" si="3"/>
        <v>660.6</v>
      </c>
      <c r="K38" s="43">
        <v>8.0000000000000002E-3</v>
      </c>
      <c r="L38" s="48">
        <f t="shared" si="6"/>
        <v>694</v>
      </c>
      <c r="M38" s="48">
        <f t="shared" si="7"/>
        <v>702.3</v>
      </c>
      <c r="Q38" s="14" t="s">
        <v>44</v>
      </c>
    </row>
    <row r="39" spans="1:17">
      <c r="A39" s="81" t="s">
        <v>383</v>
      </c>
      <c r="B39" s="338">
        <v>2041</v>
      </c>
      <c r="C39" s="40">
        <f t="shared" si="0"/>
        <v>44.198666666666668</v>
      </c>
      <c r="D39" s="43">
        <v>3.5999999999999999E-3</v>
      </c>
      <c r="E39" s="110">
        <f t="shared" si="3"/>
        <v>662.98</v>
      </c>
      <c r="K39" s="43">
        <v>8.0000000000000002E-3</v>
      </c>
      <c r="L39" s="48">
        <f t="shared" si="6"/>
        <v>699.6</v>
      </c>
      <c r="M39" s="48">
        <f t="shared" si="7"/>
        <v>707.9</v>
      </c>
      <c r="Q39" s="46" t="s">
        <v>45</v>
      </c>
    </row>
    <row r="40" spans="1:17">
      <c r="A40" s="81" t="s">
        <v>319</v>
      </c>
      <c r="B40" s="338">
        <v>2042</v>
      </c>
      <c r="C40" s="40">
        <f t="shared" si="0"/>
        <v>44.38</v>
      </c>
      <c r="D40" s="43">
        <v>4.1000000000000003E-3</v>
      </c>
      <c r="E40" s="110">
        <f t="shared" si="3"/>
        <v>665.7</v>
      </c>
      <c r="K40" s="43">
        <v>8.0000000000000002E-3</v>
      </c>
      <c r="L40" s="48">
        <f t="shared" si="6"/>
        <v>705.2</v>
      </c>
      <c r="M40" s="48">
        <f t="shared" si="7"/>
        <v>713.6</v>
      </c>
    </row>
    <row r="41" spans="1:17">
      <c r="A41" s="81" t="s">
        <v>320</v>
      </c>
      <c r="B41" s="338">
        <v>2043</v>
      </c>
      <c r="C41" s="40">
        <f t="shared" si="0"/>
        <v>44.557333333333332</v>
      </c>
      <c r="D41" s="43">
        <v>4.0000000000000001E-3</v>
      </c>
      <c r="E41" s="110">
        <f t="shared" si="3"/>
        <v>668.36</v>
      </c>
      <c r="K41" s="43">
        <v>8.0000000000000002E-3</v>
      </c>
      <c r="L41" s="48">
        <f t="shared" si="6"/>
        <v>710.8</v>
      </c>
      <c r="M41" s="48">
        <f t="shared" si="7"/>
        <v>719.3</v>
      </c>
    </row>
    <row r="42" spans="1:17">
      <c r="A42" s="81" t="s">
        <v>321</v>
      </c>
      <c r="B42" s="338">
        <v>2044</v>
      </c>
      <c r="C42" s="40">
        <f t="shared" si="0"/>
        <v>44.73533333333333</v>
      </c>
      <c r="D42" s="43">
        <v>4.0000000000000001E-3</v>
      </c>
      <c r="E42" s="110">
        <f t="shared" si="3"/>
        <v>671.03</v>
      </c>
      <c r="K42" s="43">
        <v>8.0000000000000002E-3</v>
      </c>
      <c r="L42" s="48">
        <f t="shared" si="6"/>
        <v>716.5</v>
      </c>
      <c r="M42" s="48">
        <f t="shared" si="7"/>
        <v>725.1</v>
      </c>
      <c r="Q42" s="14" t="s">
        <v>126</v>
      </c>
    </row>
    <row r="43" spans="1:17">
      <c r="A43" s="81" t="s">
        <v>322</v>
      </c>
      <c r="B43" s="338">
        <v>2045</v>
      </c>
      <c r="C43" s="40">
        <f t="shared" si="0"/>
        <v>44.914000000000001</v>
      </c>
      <c r="D43" s="43">
        <v>4.0000000000000001E-3</v>
      </c>
      <c r="E43" s="110">
        <f t="shared" si="3"/>
        <v>673.71</v>
      </c>
      <c r="K43" s="43">
        <v>8.0000000000000002E-3</v>
      </c>
      <c r="L43" s="48">
        <f t="shared" si="6"/>
        <v>722.2</v>
      </c>
      <c r="M43" s="48">
        <f t="shared" si="7"/>
        <v>730.9</v>
      </c>
    </row>
    <row r="44" spans="1:17">
      <c r="A44" s="81" t="s">
        <v>323</v>
      </c>
      <c r="B44" s="338">
        <v>2046</v>
      </c>
      <c r="C44" s="40">
        <f t="shared" si="0"/>
        <v>45.093333333333334</v>
      </c>
      <c r="D44" s="43">
        <v>4.0000000000000001E-3</v>
      </c>
      <c r="E44" s="110">
        <f t="shared" si="3"/>
        <v>676.4</v>
      </c>
      <c r="I44" t="s">
        <v>147</v>
      </c>
      <c r="K44" s="43">
        <v>8.0000000000000002E-3</v>
      </c>
      <c r="L44" s="48">
        <f t="shared" si="6"/>
        <v>728</v>
      </c>
      <c r="M44" s="48">
        <f t="shared" si="7"/>
        <v>736.7</v>
      </c>
    </row>
    <row r="45" spans="1:17">
      <c r="A45" s="81" t="s">
        <v>324</v>
      </c>
      <c r="B45" s="338">
        <v>2047</v>
      </c>
      <c r="C45" s="40">
        <f t="shared" si="0"/>
        <v>45.274000000000001</v>
      </c>
      <c r="D45" s="43">
        <v>4.0000000000000001E-3</v>
      </c>
      <c r="E45" s="110">
        <f t="shared" si="3"/>
        <v>679.11</v>
      </c>
      <c r="I45" t="s">
        <v>148</v>
      </c>
      <c r="K45" s="43">
        <v>8.0000000000000002E-3</v>
      </c>
      <c r="L45" s="48">
        <f t="shared" si="6"/>
        <v>733.8</v>
      </c>
      <c r="M45" s="48">
        <f t="shared" si="7"/>
        <v>742.6</v>
      </c>
    </row>
    <row r="46" spans="1:17">
      <c r="A46" s="81" t="s">
        <v>325</v>
      </c>
      <c r="B46" s="338">
        <v>2048</v>
      </c>
      <c r="C46" s="40">
        <f t="shared" si="0"/>
        <v>45.455333333333336</v>
      </c>
      <c r="D46" s="43">
        <v>4.0000000000000001E-3</v>
      </c>
      <c r="E46" s="110">
        <f t="shared" si="3"/>
        <v>681.83</v>
      </c>
      <c r="I46" s="111">
        <f t="shared" ref="I46:I77" si="8">E45/15</f>
        <v>45.274000000000001</v>
      </c>
      <c r="K46" s="43">
        <v>8.0000000000000002E-3</v>
      </c>
      <c r="L46" s="48">
        <f t="shared" si="6"/>
        <v>739.7</v>
      </c>
      <c r="M46" s="48">
        <f t="shared" si="7"/>
        <v>748.5</v>
      </c>
    </row>
    <row r="47" spans="1:17">
      <c r="A47" s="81" t="s">
        <v>326</v>
      </c>
      <c r="B47" s="338">
        <v>2049</v>
      </c>
      <c r="C47" s="40">
        <f t="shared" si="0"/>
        <v>45.637333333333331</v>
      </c>
      <c r="D47" s="43">
        <v>4.0000000000000001E-3</v>
      </c>
      <c r="E47" s="110">
        <f t="shared" si="3"/>
        <v>684.56</v>
      </c>
      <c r="H47" s="2" t="s">
        <v>146</v>
      </c>
      <c r="I47" s="111">
        <f t="shared" si="8"/>
        <v>45.455333333333336</v>
      </c>
      <c r="K47" s="43">
        <v>8.0000000000000002E-3</v>
      </c>
      <c r="L47" s="48">
        <f t="shared" si="6"/>
        <v>745.6</v>
      </c>
      <c r="M47" s="48">
        <f t="shared" si="7"/>
        <v>754.5</v>
      </c>
      <c r="O47" s="2" t="s">
        <v>146</v>
      </c>
      <c r="P47" s="2" t="s">
        <v>146</v>
      </c>
    </row>
    <row r="48" spans="1:17">
      <c r="A48" s="81" t="s">
        <v>382</v>
      </c>
      <c r="B48" s="338">
        <v>2050</v>
      </c>
      <c r="C48" s="40">
        <f t="shared" si="0"/>
        <v>45.82</v>
      </c>
      <c r="D48" s="43">
        <v>4.0000000000000001E-3</v>
      </c>
      <c r="E48" s="110">
        <f t="shared" si="3"/>
        <v>687.3</v>
      </c>
      <c r="H48" s="2" t="s">
        <v>145</v>
      </c>
      <c r="I48" s="111">
        <f t="shared" si="8"/>
        <v>45.637333333333331</v>
      </c>
      <c r="K48" s="43">
        <v>8.0000000000000002E-3</v>
      </c>
      <c r="L48" s="48">
        <f t="shared" si="6"/>
        <v>751.6</v>
      </c>
      <c r="M48" s="48">
        <f t="shared" si="7"/>
        <v>760.5</v>
      </c>
      <c r="O48" s="2" t="s">
        <v>145</v>
      </c>
      <c r="P48" s="2" t="s">
        <v>145</v>
      </c>
    </row>
    <row r="49" spans="1:17">
      <c r="A49" s="81" t="s">
        <v>384</v>
      </c>
      <c r="B49" s="338">
        <v>2051</v>
      </c>
      <c r="C49" s="40">
        <f t="shared" si="0"/>
        <v>46.00333333333333</v>
      </c>
      <c r="D49" s="43">
        <v>4.0000000000000001E-3</v>
      </c>
      <c r="E49" s="110">
        <f t="shared" si="3"/>
        <v>690.05</v>
      </c>
      <c r="H49" s="8" t="s">
        <v>156</v>
      </c>
      <c r="I49" s="111">
        <f t="shared" si="8"/>
        <v>45.82</v>
      </c>
      <c r="K49" s="43">
        <v>8.0000000000000002E-3</v>
      </c>
      <c r="L49" s="48">
        <f t="shared" ref="L49:L53" si="9">ROUND(L48*(100%+K49),1)</f>
        <v>757.6</v>
      </c>
      <c r="M49" s="48">
        <f t="shared" ref="M49:M53" si="10">ROUND(M48*(100%+K49),1)</f>
        <v>766.6</v>
      </c>
      <c r="O49" s="8" t="s">
        <v>156</v>
      </c>
      <c r="P49" s="8" t="s">
        <v>156</v>
      </c>
    </row>
    <row r="50" spans="1:17">
      <c r="A50" s="81" t="s">
        <v>327</v>
      </c>
      <c r="B50" s="338">
        <v>2052</v>
      </c>
      <c r="C50" s="40">
        <f t="shared" si="0"/>
        <v>46.187333333333328</v>
      </c>
      <c r="D50" s="43">
        <v>4.0000000000000001E-3</v>
      </c>
      <c r="E50" s="110">
        <f t="shared" si="3"/>
        <v>692.81</v>
      </c>
      <c r="H50" s="2" t="s">
        <v>137</v>
      </c>
      <c r="I50" s="111">
        <f t="shared" si="8"/>
        <v>46.00333333333333</v>
      </c>
      <c r="K50" s="43">
        <v>8.0000000000000002E-3</v>
      </c>
      <c r="L50" s="48">
        <f t="shared" si="9"/>
        <v>763.7</v>
      </c>
      <c r="M50" s="48">
        <f t="shared" si="10"/>
        <v>772.7</v>
      </c>
      <c r="O50" s="10" t="s">
        <v>7</v>
      </c>
      <c r="P50" s="10" t="s">
        <v>11</v>
      </c>
    </row>
    <row r="51" spans="1:17">
      <c r="A51" s="81" t="s">
        <v>328</v>
      </c>
      <c r="B51" s="338">
        <v>2053</v>
      </c>
      <c r="C51" s="40">
        <f t="shared" si="0"/>
        <v>46.372</v>
      </c>
      <c r="D51" s="43">
        <v>4.0000000000000001E-3</v>
      </c>
      <c r="E51" s="110">
        <f t="shared" si="3"/>
        <v>695.58</v>
      </c>
      <c r="H51" s="8" t="s">
        <v>153</v>
      </c>
      <c r="I51" s="111">
        <f t="shared" si="8"/>
        <v>46.187333333333328</v>
      </c>
      <c r="K51" s="43">
        <v>8.0000000000000002E-3</v>
      </c>
      <c r="L51" s="48">
        <f t="shared" si="9"/>
        <v>769.8</v>
      </c>
      <c r="M51" s="48">
        <f t="shared" si="10"/>
        <v>778.9</v>
      </c>
      <c r="O51" t="s">
        <v>9</v>
      </c>
      <c r="P51" t="s">
        <v>52</v>
      </c>
    </row>
    <row r="52" spans="1:17">
      <c r="A52" s="81" t="s">
        <v>329</v>
      </c>
      <c r="B52" s="338">
        <v>2054</v>
      </c>
      <c r="C52" s="40">
        <f t="shared" si="0"/>
        <v>46.557333333333332</v>
      </c>
      <c r="D52" s="43">
        <v>4.0000000000000001E-3</v>
      </c>
      <c r="E52" s="110">
        <f t="shared" si="3"/>
        <v>698.36</v>
      </c>
      <c r="H52" s="8" t="s">
        <v>110</v>
      </c>
      <c r="I52" s="111">
        <f t="shared" si="8"/>
        <v>46.372</v>
      </c>
      <c r="K52" s="43">
        <v>8.0000000000000002E-3</v>
      </c>
      <c r="L52" s="48">
        <f t="shared" si="9"/>
        <v>776</v>
      </c>
      <c r="M52" s="48">
        <f t="shared" si="10"/>
        <v>785.1</v>
      </c>
      <c r="O52" t="s">
        <v>8</v>
      </c>
      <c r="P52" t="s">
        <v>8</v>
      </c>
    </row>
    <row r="53" spans="1:17">
      <c r="A53" s="81" t="s">
        <v>330</v>
      </c>
      <c r="B53" s="338">
        <v>2055</v>
      </c>
      <c r="C53" s="40">
        <f t="shared" si="0"/>
        <v>46.743333333333332</v>
      </c>
      <c r="D53" s="43">
        <v>4.0000000000000001E-3</v>
      </c>
      <c r="E53" s="110">
        <f t="shared" si="3"/>
        <v>701.15</v>
      </c>
      <c r="H53" s="108">
        <f>AVERAGE(E24:E53)</f>
        <v>659.14333333333354</v>
      </c>
      <c r="I53" s="111">
        <f t="shared" si="8"/>
        <v>46.557333333333332</v>
      </c>
      <c r="K53" s="43">
        <v>8.0000000000000002E-3</v>
      </c>
      <c r="L53" s="48">
        <f t="shared" si="9"/>
        <v>782.2</v>
      </c>
      <c r="M53" s="48">
        <f t="shared" si="10"/>
        <v>791.4</v>
      </c>
      <c r="O53" s="108">
        <f>AVERAGE(L24:L53)</f>
        <v>698.48333333333335</v>
      </c>
      <c r="P53" s="108">
        <f>AVERAGE(M24:M53)</f>
        <v>707.1966666666666</v>
      </c>
    </row>
    <row r="54" spans="1:17">
      <c r="A54" s="81" t="s">
        <v>331</v>
      </c>
      <c r="B54" s="338">
        <v>2056</v>
      </c>
      <c r="C54" s="40">
        <f t="shared" si="0"/>
        <v>46.93</v>
      </c>
      <c r="D54" s="43">
        <v>4.0000000000000001E-3</v>
      </c>
      <c r="E54" s="110">
        <f t="shared" si="3"/>
        <v>703.95</v>
      </c>
      <c r="I54" s="111">
        <f t="shared" si="8"/>
        <v>46.743333333333332</v>
      </c>
      <c r="K54" s="43">
        <v>8.0000000000000002E-3</v>
      </c>
      <c r="L54" s="48">
        <f t="shared" ref="L54:L76" si="11">ROUND(L53*(100%+K54),1)</f>
        <v>788.5</v>
      </c>
      <c r="M54" s="48">
        <f t="shared" ref="M54:M76" si="12">ROUND(M53*(100%+K54),1)</f>
        <v>797.7</v>
      </c>
    </row>
    <row r="55" spans="1:17">
      <c r="A55" s="81" t="s">
        <v>332</v>
      </c>
      <c r="B55" s="338">
        <v>2057</v>
      </c>
      <c r="C55" s="40">
        <f t="shared" si="0"/>
        <v>47.118000000000002</v>
      </c>
      <c r="D55" s="43">
        <v>4.0000000000000001E-3</v>
      </c>
      <c r="E55" s="110">
        <f t="shared" si="3"/>
        <v>706.77</v>
      </c>
      <c r="I55" s="111">
        <f t="shared" si="8"/>
        <v>46.93</v>
      </c>
      <c r="K55" s="43">
        <v>8.0000000000000002E-3</v>
      </c>
      <c r="L55" s="48">
        <f t="shared" si="11"/>
        <v>794.8</v>
      </c>
      <c r="M55" s="48">
        <f t="shared" si="12"/>
        <v>804.1</v>
      </c>
    </row>
    <row r="56" spans="1:17">
      <c r="A56" s="81" t="s">
        <v>333</v>
      </c>
      <c r="B56" s="338">
        <v>2058</v>
      </c>
      <c r="C56" s="40">
        <f t="shared" si="0"/>
        <v>47.306666666666665</v>
      </c>
      <c r="D56" s="43">
        <v>4.0000000000000001E-3</v>
      </c>
      <c r="E56" s="110">
        <f t="shared" si="3"/>
        <v>709.6</v>
      </c>
      <c r="I56" s="111">
        <f t="shared" si="8"/>
        <v>47.118000000000002</v>
      </c>
      <c r="K56" s="43">
        <v>8.0000000000000002E-3</v>
      </c>
      <c r="L56" s="48">
        <f t="shared" si="11"/>
        <v>801.2</v>
      </c>
      <c r="M56" s="48">
        <f t="shared" si="12"/>
        <v>810.5</v>
      </c>
    </row>
    <row r="57" spans="1:17">
      <c r="A57" s="81" t="s">
        <v>334</v>
      </c>
      <c r="B57" s="338">
        <v>2059</v>
      </c>
      <c r="C57" s="40">
        <f t="shared" si="0"/>
        <v>47.496000000000002</v>
      </c>
      <c r="D57" s="43">
        <v>4.0000000000000001E-3</v>
      </c>
      <c r="E57" s="110">
        <f t="shared" si="3"/>
        <v>712.44</v>
      </c>
      <c r="I57" s="111">
        <f t="shared" si="8"/>
        <v>47.306666666666665</v>
      </c>
      <c r="K57" s="43">
        <v>8.0000000000000002E-3</v>
      </c>
      <c r="L57" s="48">
        <f t="shared" si="11"/>
        <v>807.6</v>
      </c>
      <c r="M57" s="48">
        <f t="shared" si="12"/>
        <v>817</v>
      </c>
    </row>
    <row r="58" spans="1:17">
      <c r="A58" s="81" t="s">
        <v>385</v>
      </c>
      <c r="B58" s="338">
        <v>2060</v>
      </c>
      <c r="C58" s="40">
        <f t="shared" si="0"/>
        <v>47.686</v>
      </c>
      <c r="D58" s="43">
        <v>4.0000000000000001E-3</v>
      </c>
      <c r="E58" s="110">
        <f t="shared" si="3"/>
        <v>715.29</v>
      </c>
      <c r="I58" s="111">
        <f t="shared" si="8"/>
        <v>47.496000000000002</v>
      </c>
      <c r="K58" s="43">
        <v>8.0000000000000002E-3</v>
      </c>
      <c r="L58" s="48">
        <f t="shared" si="11"/>
        <v>814.1</v>
      </c>
      <c r="M58" s="48">
        <f t="shared" si="12"/>
        <v>823.5</v>
      </c>
      <c r="Q58" t="s">
        <v>127</v>
      </c>
    </row>
    <row r="59" spans="1:17">
      <c r="A59" s="81" t="s">
        <v>386</v>
      </c>
      <c r="B59" s="338">
        <v>2061</v>
      </c>
      <c r="C59" s="40">
        <f t="shared" si="0"/>
        <v>47.876666666666665</v>
      </c>
      <c r="D59" s="43">
        <v>4.0000000000000001E-3</v>
      </c>
      <c r="E59" s="110">
        <f t="shared" si="3"/>
        <v>718.15</v>
      </c>
      <c r="I59" s="111">
        <f t="shared" si="8"/>
        <v>47.686</v>
      </c>
      <c r="K59" s="43">
        <v>8.0000000000000002E-3</v>
      </c>
      <c r="L59" s="48">
        <f t="shared" si="11"/>
        <v>820.6</v>
      </c>
      <c r="M59" s="48">
        <f t="shared" si="12"/>
        <v>830.1</v>
      </c>
      <c r="Q59" s="39" t="s">
        <v>128</v>
      </c>
    </row>
    <row r="60" spans="1:17">
      <c r="A60" s="81" t="s">
        <v>335</v>
      </c>
      <c r="B60" s="338">
        <v>2062</v>
      </c>
      <c r="C60" s="40">
        <f t="shared" si="0"/>
        <v>48.067999999999998</v>
      </c>
      <c r="D60" s="43">
        <v>4.0000000000000001E-3</v>
      </c>
      <c r="E60" s="110">
        <f t="shared" si="3"/>
        <v>721.02</v>
      </c>
      <c r="I60" s="111">
        <f t="shared" si="8"/>
        <v>47.876666666666665</v>
      </c>
      <c r="K60" s="43">
        <v>8.0000000000000002E-3</v>
      </c>
      <c r="L60" s="48">
        <f t="shared" si="11"/>
        <v>827.2</v>
      </c>
      <c r="M60" s="48">
        <f t="shared" si="12"/>
        <v>836.7</v>
      </c>
    </row>
    <row r="61" spans="1:17">
      <c r="A61" s="81" t="s">
        <v>336</v>
      </c>
      <c r="B61" s="338">
        <v>2063</v>
      </c>
      <c r="C61" s="40">
        <f t="shared" si="0"/>
        <v>48.26</v>
      </c>
      <c r="D61" s="43">
        <v>4.0000000000000001E-3</v>
      </c>
      <c r="E61" s="110">
        <f t="shared" si="3"/>
        <v>723.9</v>
      </c>
      <c r="I61" s="111">
        <f t="shared" si="8"/>
        <v>48.067999999999998</v>
      </c>
      <c r="K61" s="43">
        <v>8.0000000000000002E-3</v>
      </c>
      <c r="L61" s="48">
        <f t="shared" si="11"/>
        <v>833.8</v>
      </c>
      <c r="M61" s="48">
        <f t="shared" si="12"/>
        <v>843.4</v>
      </c>
    </row>
    <row r="62" spans="1:17">
      <c r="A62" s="81" t="s">
        <v>337</v>
      </c>
      <c r="B62" s="338">
        <v>2064</v>
      </c>
      <c r="C62" s="40">
        <f t="shared" si="0"/>
        <v>48.453333333333333</v>
      </c>
      <c r="D62" s="43">
        <v>4.0000000000000001E-3</v>
      </c>
      <c r="E62" s="110">
        <f t="shared" si="3"/>
        <v>726.8</v>
      </c>
      <c r="I62" s="111">
        <f t="shared" si="8"/>
        <v>48.26</v>
      </c>
      <c r="K62" s="43">
        <v>8.0000000000000002E-3</v>
      </c>
      <c r="L62" s="48">
        <f t="shared" si="11"/>
        <v>840.5</v>
      </c>
      <c r="M62" s="48">
        <f t="shared" si="12"/>
        <v>850.1</v>
      </c>
    </row>
    <row r="63" spans="1:17">
      <c r="A63" s="81" t="s">
        <v>338</v>
      </c>
      <c r="B63" s="338">
        <v>2065</v>
      </c>
      <c r="C63" s="40">
        <f t="shared" si="0"/>
        <v>48.647333333333336</v>
      </c>
      <c r="D63" s="43">
        <v>4.0000000000000001E-3</v>
      </c>
      <c r="E63" s="110">
        <f t="shared" si="3"/>
        <v>729.71</v>
      </c>
      <c r="I63" s="111">
        <f t="shared" si="8"/>
        <v>48.453333333333333</v>
      </c>
      <c r="K63" s="43">
        <v>8.0000000000000002E-3</v>
      </c>
      <c r="L63" s="48">
        <f t="shared" si="11"/>
        <v>847.2</v>
      </c>
      <c r="M63" s="48">
        <f t="shared" si="12"/>
        <v>856.9</v>
      </c>
    </row>
    <row r="64" spans="1:17">
      <c r="A64" s="81" t="s">
        <v>339</v>
      </c>
      <c r="B64" s="338">
        <v>2066</v>
      </c>
      <c r="C64" s="40">
        <f t="shared" si="0"/>
        <v>48.841999999999999</v>
      </c>
      <c r="D64" s="43">
        <v>4.0000000000000001E-3</v>
      </c>
      <c r="E64" s="110">
        <f t="shared" si="3"/>
        <v>732.63</v>
      </c>
      <c r="I64" s="111">
        <f t="shared" si="8"/>
        <v>48.647333333333336</v>
      </c>
      <c r="K64" s="43">
        <v>8.0000000000000002E-3</v>
      </c>
      <c r="L64" s="48">
        <f t="shared" si="11"/>
        <v>854</v>
      </c>
      <c r="M64" s="48">
        <f t="shared" si="12"/>
        <v>863.8</v>
      </c>
    </row>
    <row r="65" spans="1:13">
      <c r="A65" s="81" t="s">
        <v>340</v>
      </c>
      <c r="B65" s="338">
        <v>2067</v>
      </c>
      <c r="C65" s="40">
        <f t="shared" si="0"/>
        <v>49.037333333333329</v>
      </c>
      <c r="D65" s="43">
        <v>4.0000000000000001E-3</v>
      </c>
      <c r="E65" s="110">
        <f t="shared" si="3"/>
        <v>735.56</v>
      </c>
      <c r="I65" s="111">
        <f t="shared" si="8"/>
        <v>48.841999999999999</v>
      </c>
      <c r="K65" s="43">
        <v>8.0000000000000002E-3</v>
      </c>
      <c r="L65" s="48">
        <f t="shared" si="11"/>
        <v>860.8</v>
      </c>
      <c r="M65" s="48">
        <f t="shared" si="12"/>
        <v>870.7</v>
      </c>
    </row>
    <row r="66" spans="1:13">
      <c r="A66" s="81" t="s">
        <v>341</v>
      </c>
      <c r="B66" s="338">
        <v>2068</v>
      </c>
      <c r="C66" s="40">
        <f t="shared" si="0"/>
        <v>49.233333333333334</v>
      </c>
      <c r="D66" s="43">
        <v>4.0000000000000001E-3</v>
      </c>
      <c r="E66" s="110">
        <f t="shared" si="3"/>
        <v>738.5</v>
      </c>
      <c r="I66" s="111">
        <f t="shared" si="8"/>
        <v>49.037333333333329</v>
      </c>
      <c r="K66" s="43">
        <v>8.0000000000000002E-3</v>
      </c>
      <c r="L66" s="48">
        <f t="shared" si="11"/>
        <v>867.7</v>
      </c>
      <c r="M66" s="48">
        <f t="shared" si="12"/>
        <v>877.7</v>
      </c>
    </row>
    <row r="67" spans="1:13">
      <c r="A67" s="81" t="s">
        <v>342</v>
      </c>
      <c r="B67" s="338">
        <v>2069</v>
      </c>
      <c r="C67" s="40">
        <f t="shared" si="0"/>
        <v>49.43</v>
      </c>
      <c r="D67" s="43">
        <v>4.0000000000000001E-3</v>
      </c>
      <c r="E67" s="110">
        <f t="shared" si="3"/>
        <v>741.45</v>
      </c>
      <c r="I67" s="111">
        <f t="shared" si="8"/>
        <v>49.233333333333334</v>
      </c>
      <c r="K67" s="43">
        <v>8.0000000000000002E-3</v>
      </c>
      <c r="L67" s="48">
        <f t="shared" si="11"/>
        <v>874.6</v>
      </c>
      <c r="M67" s="48">
        <f t="shared" si="12"/>
        <v>884.7</v>
      </c>
    </row>
    <row r="68" spans="1:13">
      <c r="A68" s="81" t="s">
        <v>387</v>
      </c>
      <c r="B68" s="338">
        <v>2070</v>
      </c>
      <c r="C68" s="40">
        <f t="shared" si="0"/>
        <v>49.628</v>
      </c>
      <c r="D68" s="43">
        <v>4.0000000000000001E-3</v>
      </c>
      <c r="E68" s="110">
        <f t="shared" si="3"/>
        <v>744.42</v>
      </c>
      <c r="I68" s="111">
        <f t="shared" si="8"/>
        <v>49.43</v>
      </c>
      <c r="K68" s="43">
        <v>8.0000000000000002E-3</v>
      </c>
      <c r="L68" s="48">
        <f t="shared" si="11"/>
        <v>881.6</v>
      </c>
      <c r="M68" s="48">
        <f t="shared" si="12"/>
        <v>891.8</v>
      </c>
    </row>
    <row r="69" spans="1:13">
      <c r="A69" s="81" t="s">
        <v>388</v>
      </c>
      <c r="B69" s="338">
        <v>2071</v>
      </c>
      <c r="C69" s="40">
        <f t="shared" si="0"/>
        <v>49.826666666666668</v>
      </c>
      <c r="D69" s="43">
        <v>4.0000000000000001E-3</v>
      </c>
      <c r="E69" s="110">
        <f t="shared" si="3"/>
        <v>747.4</v>
      </c>
      <c r="I69" s="111">
        <f t="shared" si="8"/>
        <v>49.628</v>
      </c>
      <c r="K69" s="43">
        <v>8.0000000000000002E-3</v>
      </c>
      <c r="L69" s="48">
        <f t="shared" si="11"/>
        <v>888.7</v>
      </c>
      <c r="M69" s="48">
        <f t="shared" si="12"/>
        <v>898.9</v>
      </c>
    </row>
    <row r="70" spans="1:13">
      <c r="A70" s="81" t="s">
        <v>343</v>
      </c>
      <c r="B70" s="338">
        <v>2072</v>
      </c>
      <c r="C70" s="40">
        <f t="shared" si="0"/>
        <v>50.025999999999996</v>
      </c>
      <c r="D70" s="43">
        <v>4.0000000000000001E-3</v>
      </c>
      <c r="E70" s="110">
        <f t="shared" si="3"/>
        <v>750.39</v>
      </c>
      <c r="I70" s="111">
        <f t="shared" si="8"/>
        <v>49.826666666666668</v>
      </c>
      <c r="K70" s="43">
        <v>8.0000000000000002E-3</v>
      </c>
      <c r="L70" s="48">
        <f t="shared" si="11"/>
        <v>895.8</v>
      </c>
      <c r="M70" s="48">
        <f t="shared" si="12"/>
        <v>906.1</v>
      </c>
    </row>
    <row r="71" spans="1:13">
      <c r="A71" s="81" t="s">
        <v>344</v>
      </c>
      <c r="B71" s="338">
        <v>2073</v>
      </c>
      <c r="C71" s="40">
        <f t="shared" si="0"/>
        <v>50.225999999999999</v>
      </c>
      <c r="D71" s="43">
        <v>4.0000000000000001E-3</v>
      </c>
      <c r="E71" s="110">
        <f t="shared" si="3"/>
        <v>753.39</v>
      </c>
      <c r="I71" s="111">
        <f t="shared" si="8"/>
        <v>50.025999999999996</v>
      </c>
      <c r="K71" s="43">
        <v>8.0000000000000002E-3</v>
      </c>
      <c r="L71" s="48">
        <f t="shared" si="11"/>
        <v>903</v>
      </c>
      <c r="M71" s="48">
        <f t="shared" si="12"/>
        <v>913.3</v>
      </c>
    </row>
    <row r="72" spans="1:13">
      <c r="A72" s="81" t="s">
        <v>345</v>
      </c>
      <c r="B72" s="338">
        <v>2074</v>
      </c>
      <c r="C72" s="40">
        <f t="shared" si="0"/>
        <v>50.426666666666662</v>
      </c>
      <c r="D72" s="43">
        <v>4.0000000000000001E-3</v>
      </c>
      <c r="E72" s="110">
        <f t="shared" si="3"/>
        <v>756.4</v>
      </c>
      <c r="I72" s="111">
        <f t="shared" si="8"/>
        <v>50.225999999999999</v>
      </c>
      <c r="K72" s="43">
        <v>8.0000000000000002E-3</v>
      </c>
      <c r="L72" s="48">
        <f t="shared" si="11"/>
        <v>910.2</v>
      </c>
      <c r="M72" s="48">
        <f t="shared" si="12"/>
        <v>920.6</v>
      </c>
    </row>
    <row r="73" spans="1:13">
      <c r="A73" s="81" t="s">
        <v>346</v>
      </c>
      <c r="B73" s="338">
        <v>2075</v>
      </c>
      <c r="C73" s="40">
        <f t="shared" si="0"/>
        <v>50.62866666666666</v>
      </c>
      <c r="D73" s="43">
        <v>4.0000000000000001E-3</v>
      </c>
      <c r="E73" s="110">
        <f t="shared" si="3"/>
        <v>759.43</v>
      </c>
      <c r="I73" s="111">
        <f t="shared" si="8"/>
        <v>50.426666666666662</v>
      </c>
      <c r="K73" s="43">
        <v>8.0000000000000002E-3</v>
      </c>
      <c r="L73" s="48">
        <f t="shared" si="11"/>
        <v>917.5</v>
      </c>
      <c r="M73" s="48">
        <f t="shared" si="12"/>
        <v>928</v>
      </c>
    </row>
    <row r="74" spans="1:13">
      <c r="A74" s="81" t="s">
        <v>347</v>
      </c>
      <c r="B74" s="338">
        <v>2076</v>
      </c>
      <c r="C74" s="40">
        <f t="shared" si="0"/>
        <v>50.831333333333333</v>
      </c>
      <c r="D74" s="43">
        <v>4.0000000000000001E-3</v>
      </c>
      <c r="E74" s="110">
        <f t="shared" si="3"/>
        <v>762.47</v>
      </c>
      <c r="I74" s="111">
        <f t="shared" si="8"/>
        <v>50.62866666666666</v>
      </c>
      <c r="K74" s="43">
        <v>8.0000000000000002E-3</v>
      </c>
      <c r="L74" s="48">
        <f t="shared" si="11"/>
        <v>924.8</v>
      </c>
      <c r="M74" s="48">
        <f t="shared" si="12"/>
        <v>935.4</v>
      </c>
    </row>
    <row r="75" spans="1:13">
      <c r="A75" s="81" t="s">
        <v>348</v>
      </c>
      <c r="B75" s="338">
        <v>2077</v>
      </c>
      <c r="C75" s="40">
        <f t="shared" si="0"/>
        <v>51.034666666666666</v>
      </c>
      <c r="D75" s="43">
        <v>4.0000000000000001E-3</v>
      </c>
      <c r="E75" s="110">
        <f t="shared" si="3"/>
        <v>765.52</v>
      </c>
      <c r="I75" s="111">
        <f t="shared" si="8"/>
        <v>50.831333333333333</v>
      </c>
      <c r="K75" s="43">
        <v>8.0000000000000002E-3</v>
      </c>
      <c r="L75" s="48">
        <f t="shared" si="11"/>
        <v>932.2</v>
      </c>
      <c r="M75" s="48">
        <f t="shared" si="12"/>
        <v>942.9</v>
      </c>
    </row>
    <row r="76" spans="1:13">
      <c r="A76" s="81" t="s">
        <v>349</v>
      </c>
      <c r="B76" s="338">
        <v>2078</v>
      </c>
      <c r="C76" s="40">
        <f t="shared" si="0"/>
        <v>51.238666666666667</v>
      </c>
      <c r="D76" s="43">
        <v>4.0000000000000001E-3</v>
      </c>
      <c r="E76" s="110">
        <f t="shared" si="3"/>
        <v>768.58</v>
      </c>
      <c r="I76" s="111">
        <f t="shared" si="8"/>
        <v>51.034666666666666</v>
      </c>
      <c r="K76" s="43">
        <v>8.0000000000000002E-3</v>
      </c>
      <c r="L76" s="48">
        <f t="shared" si="11"/>
        <v>939.7</v>
      </c>
      <c r="M76" s="48">
        <f t="shared" si="12"/>
        <v>950.4</v>
      </c>
    </row>
    <row r="77" spans="1:13">
      <c r="A77" s="81" t="s">
        <v>350</v>
      </c>
      <c r="B77" s="338">
        <v>2079</v>
      </c>
      <c r="C77" s="40">
        <f t="shared" si="0"/>
        <v>51.443333333333335</v>
      </c>
      <c r="D77" s="43">
        <v>4.0000000000000001E-3</v>
      </c>
      <c r="E77" s="110">
        <f t="shared" si="3"/>
        <v>771.65</v>
      </c>
      <c r="I77" s="111">
        <f t="shared" si="8"/>
        <v>51.238666666666667</v>
      </c>
      <c r="K77" s="43">
        <v>8.0000000000000002E-3</v>
      </c>
      <c r="L77" s="48">
        <f t="shared" ref="L77:L115" si="13">ROUND(L76*(100%+K77),1)</f>
        <v>947.2</v>
      </c>
      <c r="M77" s="48">
        <f t="shared" ref="M77:M115" si="14">ROUND(M76*(100%+K77),1)</f>
        <v>958</v>
      </c>
    </row>
    <row r="78" spans="1:13">
      <c r="A78" s="81" t="s">
        <v>389</v>
      </c>
      <c r="B78" s="338">
        <v>2080</v>
      </c>
      <c r="C78" s="40">
        <f t="shared" si="0"/>
        <v>51.649333333333331</v>
      </c>
      <c r="D78" s="43">
        <v>4.0000000000000001E-3</v>
      </c>
      <c r="E78" s="110">
        <f t="shared" si="3"/>
        <v>774.74</v>
      </c>
      <c r="I78" s="111">
        <f t="shared" ref="I78:I109" si="15">E77/15</f>
        <v>51.443333333333335</v>
      </c>
      <c r="K78" s="43">
        <v>8.0000000000000002E-3</v>
      </c>
      <c r="L78" s="48">
        <f t="shared" si="13"/>
        <v>954.8</v>
      </c>
      <c r="M78" s="48">
        <f t="shared" si="14"/>
        <v>965.7</v>
      </c>
    </row>
    <row r="79" spans="1:13">
      <c r="A79" s="81" t="s">
        <v>390</v>
      </c>
      <c r="B79" s="338">
        <v>2081</v>
      </c>
      <c r="C79" s="40">
        <f t="shared" si="0"/>
        <v>51.856000000000002</v>
      </c>
      <c r="D79" s="43">
        <v>4.0000000000000001E-3</v>
      </c>
      <c r="E79" s="110">
        <f t="shared" si="3"/>
        <v>777.84</v>
      </c>
      <c r="I79" s="111">
        <f t="shared" si="15"/>
        <v>51.649333333333331</v>
      </c>
      <c r="K79" s="43">
        <v>8.0000000000000002E-3</v>
      </c>
      <c r="L79" s="48">
        <f t="shared" si="13"/>
        <v>962.4</v>
      </c>
      <c r="M79" s="48">
        <f t="shared" si="14"/>
        <v>973.4</v>
      </c>
    </row>
    <row r="80" spans="1:13">
      <c r="A80" s="81" t="s">
        <v>351</v>
      </c>
      <c r="B80" s="338">
        <v>2082</v>
      </c>
      <c r="C80" s="40">
        <f t="shared" si="0"/>
        <v>52.06333333333334</v>
      </c>
      <c r="D80" s="43">
        <v>4.0000000000000001E-3</v>
      </c>
      <c r="E80" s="110">
        <f t="shared" si="3"/>
        <v>780.95</v>
      </c>
      <c r="I80" s="111">
        <f t="shared" si="15"/>
        <v>51.856000000000002</v>
      </c>
      <c r="K80" s="43">
        <v>8.0000000000000002E-3</v>
      </c>
      <c r="L80" s="48">
        <f t="shared" si="13"/>
        <v>970.1</v>
      </c>
      <c r="M80" s="48">
        <f t="shared" si="14"/>
        <v>981.2</v>
      </c>
    </row>
    <row r="81" spans="1:13">
      <c r="A81" s="81" t="s">
        <v>352</v>
      </c>
      <c r="B81" s="338">
        <v>2083</v>
      </c>
      <c r="C81" s="40">
        <f t="shared" si="0"/>
        <v>52.271333333333338</v>
      </c>
      <c r="D81" s="43">
        <v>4.0000000000000001E-3</v>
      </c>
      <c r="E81" s="110">
        <f t="shared" si="3"/>
        <v>784.07</v>
      </c>
      <c r="I81" s="111">
        <f t="shared" si="15"/>
        <v>52.06333333333334</v>
      </c>
      <c r="K81" s="43">
        <v>8.0000000000000002E-3</v>
      </c>
      <c r="L81" s="48">
        <f t="shared" si="13"/>
        <v>977.9</v>
      </c>
      <c r="M81" s="48">
        <f t="shared" si="14"/>
        <v>989</v>
      </c>
    </row>
    <row r="82" spans="1:13">
      <c r="A82" s="81" t="s">
        <v>353</v>
      </c>
      <c r="B82" s="338">
        <v>2084</v>
      </c>
      <c r="C82" s="40">
        <f t="shared" si="0"/>
        <v>52.480666666666671</v>
      </c>
      <c r="D82" s="43">
        <v>4.0000000000000001E-3</v>
      </c>
      <c r="E82" s="110">
        <f t="shared" si="3"/>
        <v>787.21</v>
      </c>
      <c r="I82" s="111">
        <f t="shared" si="15"/>
        <v>52.271333333333338</v>
      </c>
      <c r="K82" s="43">
        <v>8.0000000000000002E-3</v>
      </c>
      <c r="L82" s="48">
        <f t="shared" si="13"/>
        <v>985.7</v>
      </c>
      <c r="M82" s="48">
        <f t="shared" si="14"/>
        <v>996.9</v>
      </c>
    </row>
    <row r="83" spans="1:13">
      <c r="A83" s="81" t="s">
        <v>354</v>
      </c>
      <c r="B83" s="338">
        <v>2085</v>
      </c>
      <c r="C83" s="40">
        <f t="shared" si="0"/>
        <v>52.690666666666665</v>
      </c>
      <c r="D83" s="43">
        <v>4.0000000000000001E-3</v>
      </c>
      <c r="E83" s="110">
        <f t="shared" si="3"/>
        <v>790.36</v>
      </c>
      <c r="I83" s="111">
        <f t="shared" si="15"/>
        <v>52.480666666666671</v>
      </c>
      <c r="K83" s="43">
        <v>8.0000000000000002E-3</v>
      </c>
      <c r="L83" s="48">
        <f t="shared" si="13"/>
        <v>993.6</v>
      </c>
      <c r="M83" s="48">
        <f t="shared" si="14"/>
        <v>1004.9</v>
      </c>
    </row>
    <row r="84" spans="1:13">
      <c r="A84" s="81" t="s">
        <v>355</v>
      </c>
      <c r="B84" s="338">
        <v>2086</v>
      </c>
      <c r="C84" s="40">
        <f t="shared" ref="C84:C115" si="16">E84/15</f>
        <v>52.901333333333334</v>
      </c>
      <c r="D84" s="43">
        <v>4.0000000000000001E-3</v>
      </c>
      <c r="E84" s="110">
        <f t="shared" si="3"/>
        <v>793.52</v>
      </c>
      <c r="I84" s="111">
        <f t="shared" si="15"/>
        <v>52.690666666666665</v>
      </c>
      <c r="K84" s="43">
        <v>8.0000000000000002E-3</v>
      </c>
      <c r="L84" s="48">
        <f t="shared" si="13"/>
        <v>1001.5</v>
      </c>
      <c r="M84" s="48">
        <f t="shared" si="14"/>
        <v>1012.9</v>
      </c>
    </row>
    <row r="85" spans="1:13">
      <c r="A85" s="81" t="s">
        <v>356</v>
      </c>
      <c r="B85" s="338">
        <v>2087</v>
      </c>
      <c r="C85" s="40">
        <f t="shared" si="16"/>
        <v>53.112666666666669</v>
      </c>
      <c r="D85" s="43">
        <v>4.0000000000000001E-3</v>
      </c>
      <c r="E85" s="110">
        <f t="shared" ref="E85:E115" si="17">ROUND(E84*(100%+D85),2)</f>
        <v>796.69</v>
      </c>
      <c r="I85" s="111">
        <f t="shared" si="15"/>
        <v>52.901333333333334</v>
      </c>
      <c r="K85" s="43">
        <v>8.0000000000000002E-3</v>
      </c>
      <c r="L85" s="48">
        <f t="shared" si="13"/>
        <v>1009.5</v>
      </c>
      <c r="M85" s="48">
        <f t="shared" si="14"/>
        <v>1021</v>
      </c>
    </row>
    <row r="86" spans="1:13">
      <c r="A86" s="81" t="s">
        <v>357</v>
      </c>
      <c r="B86" s="338">
        <v>2088</v>
      </c>
      <c r="C86" s="40">
        <f t="shared" si="16"/>
        <v>53.325333333333333</v>
      </c>
      <c r="D86" s="43">
        <v>4.0000000000000001E-3</v>
      </c>
      <c r="E86" s="110">
        <f t="shared" si="17"/>
        <v>799.88</v>
      </c>
      <c r="I86" s="111">
        <f t="shared" si="15"/>
        <v>53.112666666666669</v>
      </c>
      <c r="K86" s="43">
        <v>8.0000000000000002E-3</v>
      </c>
      <c r="L86" s="48">
        <f t="shared" si="13"/>
        <v>1017.6</v>
      </c>
      <c r="M86" s="48">
        <f t="shared" si="14"/>
        <v>1029.2</v>
      </c>
    </row>
    <row r="87" spans="1:13">
      <c r="A87" s="81" t="s">
        <v>358</v>
      </c>
      <c r="B87" s="338">
        <v>2089</v>
      </c>
      <c r="C87" s="40">
        <f t="shared" si="16"/>
        <v>53.538666666666671</v>
      </c>
      <c r="D87" s="43">
        <v>4.0000000000000001E-3</v>
      </c>
      <c r="E87" s="110">
        <f t="shared" si="17"/>
        <v>803.08</v>
      </c>
      <c r="I87" s="111">
        <f t="shared" si="15"/>
        <v>53.325333333333333</v>
      </c>
      <c r="K87" s="43">
        <v>8.0000000000000002E-3</v>
      </c>
      <c r="L87" s="48">
        <f t="shared" si="13"/>
        <v>1025.7</v>
      </c>
      <c r="M87" s="48">
        <f t="shared" si="14"/>
        <v>1037.4000000000001</v>
      </c>
    </row>
    <row r="88" spans="1:13">
      <c r="A88" s="81" t="s">
        <v>391</v>
      </c>
      <c r="B88" s="338">
        <v>2090</v>
      </c>
      <c r="C88" s="40">
        <f t="shared" si="16"/>
        <v>53.752666666666663</v>
      </c>
      <c r="D88" s="43">
        <v>4.0000000000000001E-3</v>
      </c>
      <c r="E88" s="110">
        <f t="shared" si="17"/>
        <v>806.29</v>
      </c>
      <c r="I88" s="111">
        <f t="shared" si="15"/>
        <v>53.538666666666671</v>
      </c>
      <c r="K88" s="43">
        <v>8.0000000000000002E-3</v>
      </c>
      <c r="L88" s="48">
        <f t="shared" si="13"/>
        <v>1033.9000000000001</v>
      </c>
      <c r="M88" s="48">
        <f t="shared" si="14"/>
        <v>1045.7</v>
      </c>
    </row>
    <row r="89" spans="1:13">
      <c r="A89" s="81" t="s">
        <v>392</v>
      </c>
      <c r="B89" s="338">
        <v>2091</v>
      </c>
      <c r="C89" s="40">
        <f t="shared" si="16"/>
        <v>53.967999999999996</v>
      </c>
      <c r="D89" s="43">
        <v>4.0000000000000001E-3</v>
      </c>
      <c r="E89" s="110">
        <f t="shared" si="17"/>
        <v>809.52</v>
      </c>
      <c r="I89" s="111">
        <f t="shared" si="15"/>
        <v>53.752666666666663</v>
      </c>
      <c r="K89" s="43">
        <v>8.0000000000000002E-3</v>
      </c>
      <c r="L89" s="48">
        <f t="shared" si="13"/>
        <v>1042.2</v>
      </c>
      <c r="M89" s="48">
        <f t="shared" si="14"/>
        <v>1054.0999999999999</v>
      </c>
    </row>
    <row r="90" spans="1:13">
      <c r="A90" s="81" t="s">
        <v>359</v>
      </c>
      <c r="B90" s="338">
        <v>2092</v>
      </c>
      <c r="C90" s="40">
        <f t="shared" si="16"/>
        <v>54.183999999999997</v>
      </c>
      <c r="D90" s="43">
        <v>4.0000000000000001E-3</v>
      </c>
      <c r="E90" s="110">
        <f t="shared" si="17"/>
        <v>812.76</v>
      </c>
      <c r="I90" s="111">
        <f t="shared" si="15"/>
        <v>53.967999999999996</v>
      </c>
      <c r="K90" s="43">
        <v>8.0000000000000002E-3</v>
      </c>
      <c r="L90" s="48">
        <f t="shared" si="13"/>
        <v>1050.5</v>
      </c>
      <c r="M90" s="48">
        <f t="shared" si="14"/>
        <v>1062.5</v>
      </c>
    </row>
    <row r="91" spans="1:13">
      <c r="A91" s="81" t="s">
        <v>360</v>
      </c>
      <c r="B91" s="338">
        <v>2093</v>
      </c>
      <c r="C91" s="40">
        <f t="shared" si="16"/>
        <v>54.400666666666666</v>
      </c>
      <c r="D91" s="43">
        <v>4.0000000000000001E-3</v>
      </c>
      <c r="E91" s="110">
        <f t="shared" si="17"/>
        <v>816.01</v>
      </c>
      <c r="I91" s="111">
        <f t="shared" si="15"/>
        <v>54.183999999999997</v>
      </c>
      <c r="K91" s="43">
        <v>8.0000000000000002E-3</v>
      </c>
      <c r="L91" s="48">
        <f t="shared" si="13"/>
        <v>1058.9000000000001</v>
      </c>
      <c r="M91" s="48">
        <f t="shared" si="14"/>
        <v>1071</v>
      </c>
    </row>
    <row r="92" spans="1:13">
      <c r="A92" s="81" t="s">
        <v>361</v>
      </c>
      <c r="B92" s="338">
        <v>2094</v>
      </c>
      <c r="C92" s="40">
        <f t="shared" si="16"/>
        <v>54.618000000000002</v>
      </c>
      <c r="D92" s="43">
        <v>4.0000000000000001E-3</v>
      </c>
      <c r="E92" s="110">
        <f t="shared" si="17"/>
        <v>819.27</v>
      </c>
      <c r="I92" s="111">
        <f t="shared" si="15"/>
        <v>54.400666666666666</v>
      </c>
      <c r="K92" s="43">
        <v>8.0000000000000002E-3</v>
      </c>
      <c r="L92" s="48">
        <f t="shared" si="13"/>
        <v>1067.4000000000001</v>
      </c>
      <c r="M92" s="48">
        <f t="shared" si="14"/>
        <v>1079.5999999999999</v>
      </c>
    </row>
    <row r="93" spans="1:13">
      <c r="A93" s="81" t="s">
        <v>362</v>
      </c>
      <c r="B93" s="338">
        <v>2095</v>
      </c>
      <c r="C93" s="40">
        <f t="shared" si="16"/>
        <v>54.836666666666666</v>
      </c>
      <c r="D93" s="43">
        <v>4.0000000000000001E-3</v>
      </c>
      <c r="E93" s="110">
        <f t="shared" si="17"/>
        <v>822.55</v>
      </c>
      <c r="I93" s="111">
        <f t="shared" si="15"/>
        <v>54.618000000000002</v>
      </c>
      <c r="K93" s="43">
        <v>8.0000000000000002E-3</v>
      </c>
      <c r="L93" s="48">
        <f t="shared" si="13"/>
        <v>1075.9000000000001</v>
      </c>
      <c r="M93" s="48">
        <f t="shared" si="14"/>
        <v>1088.2</v>
      </c>
    </row>
    <row r="94" spans="1:13">
      <c r="A94" s="81" t="s">
        <v>363</v>
      </c>
      <c r="B94" s="338">
        <v>2096</v>
      </c>
      <c r="C94" s="40">
        <f t="shared" si="16"/>
        <v>55.056000000000004</v>
      </c>
      <c r="D94" s="43">
        <v>4.0000000000000001E-3</v>
      </c>
      <c r="E94" s="110">
        <f t="shared" si="17"/>
        <v>825.84</v>
      </c>
      <c r="I94" s="111">
        <f t="shared" si="15"/>
        <v>54.836666666666666</v>
      </c>
      <c r="K94" s="43">
        <v>8.0000000000000002E-3</v>
      </c>
      <c r="L94" s="48">
        <f t="shared" si="13"/>
        <v>1084.5</v>
      </c>
      <c r="M94" s="48">
        <f t="shared" si="14"/>
        <v>1096.9000000000001</v>
      </c>
    </row>
    <row r="95" spans="1:13">
      <c r="A95" s="81" t="s">
        <v>364</v>
      </c>
      <c r="B95" s="338">
        <v>2097</v>
      </c>
      <c r="C95" s="40">
        <f t="shared" si="16"/>
        <v>55.275999999999996</v>
      </c>
      <c r="D95" s="43">
        <v>4.0000000000000001E-3</v>
      </c>
      <c r="E95" s="110">
        <f t="shared" si="17"/>
        <v>829.14</v>
      </c>
      <c r="I95" s="111">
        <f t="shared" si="15"/>
        <v>55.056000000000004</v>
      </c>
      <c r="K95" s="43">
        <v>8.0000000000000002E-3</v>
      </c>
      <c r="L95" s="48">
        <f t="shared" si="13"/>
        <v>1093.2</v>
      </c>
      <c r="M95" s="48">
        <f t="shared" si="14"/>
        <v>1105.7</v>
      </c>
    </row>
    <row r="96" spans="1:13">
      <c r="A96" s="81" t="s">
        <v>365</v>
      </c>
      <c r="B96" s="338">
        <v>2098</v>
      </c>
      <c r="C96" s="40">
        <f t="shared" si="16"/>
        <v>55.497333333333337</v>
      </c>
      <c r="D96" s="43">
        <v>4.0000000000000001E-3</v>
      </c>
      <c r="E96" s="110">
        <f t="shared" si="17"/>
        <v>832.46</v>
      </c>
      <c r="I96" s="111">
        <f t="shared" si="15"/>
        <v>55.275999999999996</v>
      </c>
      <c r="K96" s="43">
        <v>8.0000000000000002E-3</v>
      </c>
      <c r="L96" s="48">
        <f t="shared" si="13"/>
        <v>1101.9000000000001</v>
      </c>
      <c r="M96" s="48">
        <f t="shared" si="14"/>
        <v>1114.5</v>
      </c>
    </row>
    <row r="97" spans="1:13">
      <c r="A97" s="81" t="s">
        <v>366</v>
      </c>
      <c r="B97" s="338">
        <v>2099</v>
      </c>
      <c r="C97" s="40">
        <f t="shared" si="16"/>
        <v>55.719333333333331</v>
      </c>
      <c r="D97" s="43">
        <v>4.0000000000000001E-3</v>
      </c>
      <c r="E97" s="110">
        <f t="shared" si="17"/>
        <v>835.79</v>
      </c>
      <c r="I97" s="111">
        <f t="shared" si="15"/>
        <v>55.497333333333337</v>
      </c>
      <c r="K97" s="43">
        <v>8.0000000000000002E-3</v>
      </c>
      <c r="L97" s="48">
        <f t="shared" si="13"/>
        <v>1110.7</v>
      </c>
      <c r="M97" s="48">
        <f t="shared" si="14"/>
        <v>1123.4000000000001</v>
      </c>
    </row>
    <row r="98" spans="1:13">
      <c r="A98" s="81" t="s">
        <v>393</v>
      </c>
      <c r="B98" s="338">
        <v>2100</v>
      </c>
      <c r="C98" s="40">
        <f t="shared" si="16"/>
        <v>55.942</v>
      </c>
      <c r="D98" s="43">
        <v>4.0000000000000001E-3</v>
      </c>
      <c r="E98" s="110">
        <f t="shared" si="17"/>
        <v>839.13</v>
      </c>
      <c r="I98" s="111">
        <f t="shared" si="15"/>
        <v>55.719333333333331</v>
      </c>
      <c r="K98" s="43">
        <v>8.0000000000000002E-3</v>
      </c>
      <c r="L98" s="48">
        <f t="shared" si="13"/>
        <v>1119.5999999999999</v>
      </c>
      <c r="M98" s="48">
        <f t="shared" si="14"/>
        <v>1132.4000000000001</v>
      </c>
    </row>
    <row r="99" spans="1:13">
      <c r="A99" s="81" t="s">
        <v>394</v>
      </c>
      <c r="B99" s="338">
        <v>2101</v>
      </c>
      <c r="C99" s="40">
        <f t="shared" si="16"/>
        <v>56.166000000000004</v>
      </c>
      <c r="D99" s="43">
        <v>4.0000000000000001E-3</v>
      </c>
      <c r="E99" s="110">
        <f t="shared" si="17"/>
        <v>842.49</v>
      </c>
      <c r="I99" s="111">
        <f t="shared" si="15"/>
        <v>55.942</v>
      </c>
      <c r="K99" s="43">
        <v>8.0000000000000002E-3</v>
      </c>
      <c r="L99" s="48">
        <f t="shared" si="13"/>
        <v>1128.5999999999999</v>
      </c>
      <c r="M99" s="48">
        <f t="shared" si="14"/>
        <v>1141.5</v>
      </c>
    </row>
    <row r="100" spans="1:13">
      <c r="A100" s="81" t="s">
        <v>367</v>
      </c>
      <c r="B100" s="338">
        <v>2102</v>
      </c>
      <c r="C100" s="40">
        <f t="shared" si="16"/>
        <v>56.390666666666668</v>
      </c>
      <c r="D100" s="43">
        <v>4.0000000000000001E-3</v>
      </c>
      <c r="E100" s="110">
        <f t="shared" si="17"/>
        <v>845.86</v>
      </c>
      <c r="I100" s="111">
        <f t="shared" si="15"/>
        <v>56.166000000000004</v>
      </c>
      <c r="K100" s="43">
        <v>8.0000000000000002E-3</v>
      </c>
      <c r="L100" s="48">
        <f t="shared" si="13"/>
        <v>1137.5999999999999</v>
      </c>
      <c r="M100" s="48">
        <f t="shared" si="14"/>
        <v>1150.5999999999999</v>
      </c>
    </row>
    <row r="101" spans="1:13">
      <c r="A101" s="81" t="s">
        <v>368</v>
      </c>
      <c r="B101" s="338">
        <v>2103</v>
      </c>
      <c r="C101" s="40">
        <f t="shared" si="16"/>
        <v>56.616</v>
      </c>
      <c r="D101" s="43">
        <v>4.0000000000000001E-3</v>
      </c>
      <c r="E101" s="110">
        <f t="shared" si="17"/>
        <v>849.24</v>
      </c>
      <c r="I101" s="111">
        <f t="shared" si="15"/>
        <v>56.390666666666668</v>
      </c>
      <c r="K101" s="43">
        <v>8.0000000000000002E-3</v>
      </c>
      <c r="L101" s="48">
        <f t="shared" si="13"/>
        <v>1146.7</v>
      </c>
      <c r="M101" s="48">
        <f t="shared" si="14"/>
        <v>1159.8</v>
      </c>
    </row>
    <row r="102" spans="1:13">
      <c r="A102" s="81" t="s">
        <v>369</v>
      </c>
      <c r="B102" s="338">
        <v>2104</v>
      </c>
      <c r="C102" s="40">
        <f t="shared" si="16"/>
        <v>56.842666666666666</v>
      </c>
      <c r="D102" s="43">
        <v>4.0000000000000001E-3</v>
      </c>
      <c r="E102" s="110">
        <f t="shared" si="17"/>
        <v>852.64</v>
      </c>
      <c r="I102" s="111">
        <f t="shared" si="15"/>
        <v>56.616</v>
      </c>
      <c r="K102" s="43">
        <v>8.0000000000000002E-3</v>
      </c>
      <c r="L102" s="48">
        <f t="shared" si="13"/>
        <v>1155.9000000000001</v>
      </c>
      <c r="M102" s="48">
        <f t="shared" si="14"/>
        <v>1169.0999999999999</v>
      </c>
    </row>
    <row r="103" spans="1:13">
      <c r="A103" s="81" t="s">
        <v>370</v>
      </c>
      <c r="B103" s="338">
        <v>2105</v>
      </c>
      <c r="C103" s="40">
        <f t="shared" si="16"/>
        <v>57.07</v>
      </c>
      <c r="D103" s="43">
        <v>4.0000000000000001E-3</v>
      </c>
      <c r="E103" s="110">
        <f t="shared" si="17"/>
        <v>856.05</v>
      </c>
      <c r="I103" s="111">
        <f t="shared" si="15"/>
        <v>56.842666666666666</v>
      </c>
      <c r="K103" s="43">
        <v>8.0000000000000002E-3</v>
      </c>
      <c r="L103" s="48">
        <f t="shared" si="13"/>
        <v>1165.0999999999999</v>
      </c>
      <c r="M103" s="48">
        <f t="shared" si="14"/>
        <v>1178.5</v>
      </c>
    </row>
    <row r="104" spans="1:13">
      <c r="A104" s="81" t="s">
        <v>371</v>
      </c>
      <c r="B104" s="338">
        <v>2106</v>
      </c>
      <c r="C104" s="40">
        <f t="shared" si="16"/>
        <v>57.298000000000002</v>
      </c>
      <c r="D104" s="43">
        <v>4.0000000000000001E-3</v>
      </c>
      <c r="E104" s="110">
        <f t="shared" si="17"/>
        <v>859.47</v>
      </c>
      <c r="I104" s="111">
        <f t="shared" si="15"/>
        <v>57.07</v>
      </c>
      <c r="K104" s="43">
        <v>8.0000000000000002E-3</v>
      </c>
      <c r="L104" s="48">
        <f t="shared" si="13"/>
        <v>1174.4000000000001</v>
      </c>
      <c r="M104" s="48">
        <f t="shared" si="14"/>
        <v>1187.9000000000001</v>
      </c>
    </row>
    <row r="105" spans="1:13">
      <c r="A105" s="81" t="s">
        <v>372</v>
      </c>
      <c r="B105" s="338">
        <v>2107</v>
      </c>
      <c r="C105" s="40">
        <f t="shared" si="16"/>
        <v>57.527333333333331</v>
      </c>
      <c r="D105" s="43">
        <v>4.0000000000000001E-3</v>
      </c>
      <c r="E105" s="110">
        <f t="shared" si="17"/>
        <v>862.91</v>
      </c>
      <c r="I105" s="111">
        <f t="shared" si="15"/>
        <v>57.298000000000002</v>
      </c>
      <c r="K105" s="43">
        <v>8.0000000000000002E-3</v>
      </c>
      <c r="L105" s="48">
        <f t="shared" si="13"/>
        <v>1183.8</v>
      </c>
      <c r="M105" s="48">
        <f t="shared" si="14"/>
        <v>1197.4000000000001</v>
      </c>
    </row>
    <row r="106" spans="1:13">
      <c r="A106" s="81" t="s">
        <v>373</v>
      </c>
      <c r="B106" s="338">
        <v>2108</v>
      </c>
      <c r="C106" s="40">
        <f t="shared" si="16"/>
        <v>57.757333333333335</v>
      </c>
      <c r="D106" s="43">
        <v>4.0000000000000001E-3</v>
      </c>
      <c r="E106" s="110">
        <f t="shared" si="17"/>
        <v>866.36</v>
      </c>
      <c r="I106" s="111">
        <f t="shared" si="15"/>
        <v>57.527333333333331</v>
      </c>
      <c r="K106" s="43">
        <v>8.0000000000000002E-3</v>
      </c>
      <c r="L106" s="48">
        <f t="shared" si="13"/>
        <v>1193.3</v>
      </c>
      <c r="M106" s="48">
        <f t="shared" si="14"/>
        <v>1207</v>
      </c>
    </row>
    <row r="107" spans="1:13">
      <c r="A107" s="81" t="s">
        <v>374</v>
      </c>
      <c r="B107" s="338">
        <v>2109</v>
      </c>
      <c r="C107" s="40">
        <f t="shared" si="16"/>
        <v>57.988666666666667</v>
      </c>
      <c r="D107" s="43">
        <v>4.0000000000000001E-3</v>
      </c>
      <c r="E107" s="110">
        <f t="shared" si="17"/>
        <v>869.83</v>
      </c>
      <c r="I107" s="111">
        <f t="shared" si="15"/>
        <v>57.757333333333335</v>
      </c>
      <c r="K107" s="43">
        <v>8.0000000000000002E-3</v>
      </c>
      <c r="L107" s="48">
        <f t="shared" si="13"/>
        <v>1202.8</v>
      </c>
      <c r="M107" s="48">
        <f t="shared" si="14"/>
        <v>1216.7</v>
      </c>
    </row>
    <row r="108" spans="1:13">
      <c r="A108" s="81" t="s">
        <v>395</v>
      </c>
      <c r="B108" s="338">
        <v>2110</v>
      </c>
      <c r="C108" s="40">
        <f t="shared" si="16"/>
        <v>58.220666666666666</v>
      </c>
      <c r="D108" s="43">
        <v>4.0000000000000001E-3</v>
      </c>
      <c r="E108" s="110">
        <f t="shared" si="17"/>
        <v>873.31</v>
      </c>
      <c r="I108" s="111">
        <f t="shared" si="15"/>
        <v>57.988666666666667</v>
      </c>
      <c r="K108" s="43">
        <v>8.0000000000000002E-3</v>
      </c>
      <c r="L108" s="48">
        <f t="shared" si="13"/>
        <v>1212.4000000000001</v>
      </c>
      <c r="M108" s="48">
        <f t="shared" si="14"/>
        <v>1226.4000000000001</v>
      </c>
    </row>
    <row r="109" spans="1:13">
      <c r="A109" s="81" t="s">
        <v>396</v>
      </c>
      <c r="B109" s="338">
        <v>2111</v>
      </c>
      <c r="C109" s="40">
        <f t="shared" si="16"/>
        <v>58.453333333333333</v>
      </c>
      <c r="D109" s="43">
        <v>4.0000000000000001E-3</v>
      </c>
      <c r="E109" s="110">
        <f t="shared" si="17"/>
        <v>876.8</v>
      </c>
      <c r="I109" s="111">
        <f t="shared" si="15"/>
        <v>58.220666666666666</v>
      </c>
      <c r="K109" s="43">
        <v>8.0000000000000002E-3</v>
      </c>
      <c r="L109" s="48">
        <f t="shared" si="13"/>
        <v>1222.0999999999999</v>
      </c>
      <c r="M109" s="48">
        <f t="shared" si="14"/>
        <v>1236.2</v>
      </c>
    </row>
    <row r="110" spans="1:13">
      <c r="A110" s="81" t="s">
        <v>375</v>
      </c>
      <c r="B110" s="338">
        <v>2112</v>
      </c>
      <c r="C110" s="40">
        <f t="shared" si="16"/>
        <v>58.687333333333328</v>
      </c>
      <c r="D110" s="43">
        <v>4.0000000000000001E-3</v>
      </c>
      <c r="E110" s="110">
        <f t="shared" si="17"/>
        <v>880.31</v>
      </c>
      <c r="I110" s="111">
        <f t="shared" ref="I110:I115" si="18">E109/15</f>
        <v>58.453333333333333</v>
      </c>
      <c r="K110" s="43">
        <v>8.0000000000000002E-3</v>
      </c>
      <c r="L110" s="48">
        <f t="shared" si="13"/>
        <v>1231.9000000000001</v>
      </c>
      <c r="M110" s="48">
        <f t="shared" si="14"/>
        <v>1246.0999999999999</v>
      </c>
    </row>
    <row r="111" spans="1:13">
      <c r="A111" s="81" t="s">
        <v>376</v>
      </c>
      <c r="B111" s="338">
        <v>2113</v>
      </c>
      <c r="C111" s="40">
        <f t="shared" si="16"/>
        <v>58.922000000000004</v>
      </c>
      <c r="D111" s="43">
        <v>4.0000000000000001E-3</v>
      </c>
      <c r="E111" s="110">
        <f t="shared" si="17"/>
        <v>883.83</v>
      </c>
      <c r="I111" s="111">
        <f t="shared" si="18"/>
        <v>58.687333333333328</v>
      </c>
      <c r="K111" s="43">
        <v>8.0000000000000002E-3</v>
      </c>
      <c r="L111" s="48">
        <f t="shared" si="13"/>
        <v>1241.8</v>
      </c>
      <c r="M111" s="48">
        <f t="shared" si="14"/>
        <v>1256.0999999999999</v>
      </c>
    </row>
    <row r="112" spans="1:13">
      <c r="A112" s="81" t="s">
        <v>377</v>
      </c>
      <c r="B112" s="338">
        <v>2114</v>
      </c>
      <c r="C112" s="40">
        <f t="shared" si="16"/>
        <v>59.158000000000001</v>
      </c>
      <c r="D112" s="43">
        <v>4.0000000000000001E-3</v>
      </c>
      <c r="E112" s="110">
        <f t="shared" si="17"/>
        <v>887.37</v>
      </c>
      <c r="I112" s="111">
        <f t="shared" si="18"/>
        <v>58.922000000000004</v>
      </c>
      <c r="K112" s="43">
        <v>8.0000000000000002E-3</v>
      </c>
      <c r="L112" s="48">
        <f t="shared" si="13"/>
        <v>1251.7</v>
      </c>
      <c r="M112" s="48">
        <f t="shared" si="14"/>
        <v>1266.0999999999999</v>
      </c>
    </row>
    <row r="113" spans="1:15">
      <c r="A113" s="81" t="s">
        <v>378</v>
      </c>
      <c r="B113" s="338">
        <v>2115</v>
      </c>
      <c r="C113" s="40">
        <f t="shared" si="16"/>
        <v>59.394666666666666</v>
      </c>
      <c r="D113" s="43">
        <v>4.0000000000000001E-3</v>
      </c>
      <c r="E113" s="110">
        <f t="shared" si="17"/>
        <v>890.92</v>
      </c>
      <c r="I113" s="111">
        <f t="shared" si="18"/>
        <v>59.158000000000001</v>
      </c>
      <c r="K113" s="43">
        <v>8.0000000000000002E-3</v>
      </c>
      <c r="L113" s="48">
        <f t="shared" si="13"/>
        <v>1261.7</v>
      </c>
      <c r="M113" s="48">
        <f t="shared" si="14"/>
        <v>1276.2</v>
      </c>
    </row>
    <row r="114" spans="1:15">
      <c r="A114" s="81" t="s">
        <v>379</v>
      </c>
      <c r="B114" s="338">
        <v>2116</v>
      </c>
      <c r="C114" s="40">
        <f t="shared" si="16"/>
        <v>59.631999999999998</v>
      </c>
      <c r="D114" s="43">
        <v>4.0000000000000001E-3</v>
      </c>
      <c r="E114" s="110">
        <f t="shared" si="17"/>
        <v>894.48</v>
      </c>
      <c r="I114" s="111">
        <f t="shared" si="18"/>
        <v>59.394666666666666</v>
      </c>
      <c r="K114" s="43">
        <v>8.0000000000000002E-3</v>
      </c>
      <c r="L114" s="48">
        <f t="shared" si="13"/>
        <v>1271.8</v>
      </c>
      <c r="M114" s="48">
        <f t="shared" si="14"/>
        <v>1286.4000000000001</v>
      </c>
      <c r="O114" t="s">
        <v>116</v>
      </c>
    </row>
    <row r="115" spans="1:15">
      <c r="A115" s="81" t="s">
        <v>380</v>
      </c>
      <c r="B115" s="338">
        <v>2117</v>
      </c>
      <c r="C115" s="106">
        <f t="shared" si="16"/>
        <v>59.870666666666665</v>
      </c>
      <c r="D115" s="43">
        <v>4.0000000000000001E-3</v>
      </c>
      <c r="E115" s="113">
        <f t="shared" si="17"/>
        <v>898.06</v>
      </c>
      <c r="I115" s="112">
        <f t="shared" si="18"/>
        <v>59.631999999999998</v>
      </c>
      <c r="K115" s="43">
        <v>8.0000000000000002E-3</v>
      </c>
      <c r="L115" s="48">
        <f t="shared" si="13"/>
        <v>1282</v>
      </c>
      <c r="M115" s="48">
        <f t="shared" si="14"/>
        <v>1296.7</v>
      </c>
      <c r="O115" s="29">
        <f>(M115/E115)-100%</f>
        <v>0.44389016324076347</v>
      </c>
    </row>
    <row r="116" spans="1:15">
      <c r="B116" s="8"/>
    </row>
    <row r="117" spans="1:15">
      <c r="I117" t="s">
        <v>147</v>
      </c>
    </row>
    <row r="118" spans="1:15">
      <c r="I118" t="s">
        <v>148</v>
      </c>
      <c r="O118" s="114" t="s">
        <v>149</v>
      </c>
    </row>
    <row r="119" spans="1:15">
      <c r="O119" s="115">
        <f>E115</f>
        <v>898.06</v>
      </c>
    </row>
    <row r="120" spans="1:15">
      <c r="O120" s="116" t="s">
        <v>150</v>
      </c>
    </row>
    <row r="121" spans="1:15">
      <c r="O121" s="117">
        <f>O119*1.444</f>
        <v>1296.79864</v>
      </c>
    </row>
  </sheetData>
  <hyperlinks>
    <hyperlink ref="B3" r:id="rId1"/>
    <hyperlink ref="B7" r:id="rId2"/>
    <hyperlink ref="Q59" r:id="rId3"/>
  </hyperlinks>
  <pageMargins left="0.75" right="0.75" top="1" bottom="1" header="0.5" footer="0.5"/>
  <pageSetup orientation="portrait" horizontalDpi="4294967292" verticalDpi="4294967292"/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LeREM</vt:lpstr>
      <vt:lpstr>Simulateur</vt:lpstr>
      <vt:lpstr>Autres-systemes</vt:lpstr>
      <vt:lpstr>S_resume</vt:lpstr>
      <vt:lpstr>Introduction</vt:lpstr>
      <vt:lpstr>Nationalisation</vt:lpstr>
      <vt:lpstr>Ecart_DaveSDG</vt:lpstr>
      <vt:lpstr>72ou67cents</vt:lpstr>
      <vt:lpstr>60M_pass_2117</vt:lpstr>
      <vt:lpstr>Vancouver</vt:lpstr>
      <vt:lpstr>Copenhague_49-25cents</vt:lpstr>
      <vt:lpstr>Sydney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Rejean Benoit</dc:creator>
  <cp:lastModifiedBy>Rejean Benoit</cp:lastModifiedBy>
  <cp:lastPrinted>2018-09-23T14:38:07Z</cp:lastPrinted>
  <dcterms:created xsi:type="dcterms:W3CDTF">2018-08-21T02:18:50Z</dcterms:created>
  <dcterms:modified xsi:type="dcterms:W3CDTF">2018-10-15T12:16:30Z</dcterms:modified>
</cp:coreProperties>
</file>